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-120" yWindow="480" windowWidth="29040" windowHeight="15840"/>
  </bookViews>
  <sheets>
    <sheet name="Лист1" sheetId="1" r:id="rId1"/>
  </sheets>
  <definedNames>
    <definedName name="_xlnm.Print_Titles" localSheetId="0">Лист1!$6:$6</definedName>
  </definedNames>
  <calcPr calcId="152511"/>
</workbook>
</file>

<file path=xl/calcChain.xml><?xml version="1.0" encoding="utf-8"?>
<calcChain xmlns="http://schemas.openxmlformats.org/spreadsheetml/2006/main">
  <c r="E86" i="1" l="1"/>
  <c r="E85" i="1"/>
  <c r="E81" i="1"/>
  <c r="E152" i="1" l="1"/>
  <c r="E150" i="1"/>
  <c r="E146" i="1"/>
  <c r="E144" i="1"/>
  <c r="E142" i="1"/>
  <c r="E140" i="1"/>
  <c r="E138" i="1"/>
  <c r="E134" i="1"/>
  <c r="E131" i="1"/>
  <c r="E128" i="1"/>
  <c r="E124" i="1"/>
  <c r="E121" i="1"/>
  <c r="E117" i="1"/>
  <c r="E115" i="1"/>
  <c r="E113" i="1"/>
  <c r="E111" i="1"/>
  <c r="E109" i="1"/>
  <c r="E107" i="1"/>
  <c r="E103" i="1"/>
  <c r="E101" i="1"/>
  <c r="E99" i="1"/>
  <c r="E96" i="1"/>
  <c r="E93" i="1"/>
  <c r="E90" i="1"/>
  <c r="E88" i="1"/>
  <c r="E75" i="1"/>
  <c r="E73" i="1"/>
  <c r="E71" i="1"/>
  <c r="E65" i="1"/>
  <c r="E59" i="1"/>
  <c r="E52" i="1"/>
  <c r="E46" i="1"/>
  <c r="E37" i="1"/>
  <c r="E35" i="1"/>
  <c r="E32" i="1"/>
  <c r="E29" i="1"/>
  <c r="E24" i="1"/>
  <c r="E19" i="1"/>
  <c r="E17" i="1"/>
  <c r="E8" i="1"/>
  <c r="E148" i="1" l="1"/>
  <c r="E154" i="1" l="1"/>
  <c r="E157" i="1"/>
  <c r="E161" i="1" s="1"/>
  <c r="E166" i="1" s="1"/>
  <c r="E136" i="1" l="1"/>
  <c r="E105" i="1"/>
  <c r="E21" i="1"/>
  <c r="E77" i="1" l="1"/>
  <c r="E164" i="1" s="1"/>
  <c r="E119" i="1"/>
  <c r="E155" i="1" s="1"/>
  <c r="E165" i="1" s="1"/>
  <c r="E163" i="1"/>
  <c r="E167" i="1" l="1"/>
  <c r="E169" i="1" l="1"/>
</calcChain>
</file>

<file path=xl/comments1.xml><?xml version="1.0" encoding="utf-8"?>
<comments xmlns="http://schemas.openxmlformats.org/spreadsheetml/2006/main">
  <authors>
    <author>Алексей</author>
    <author>Сергей</author>
    <author>Alex Sosedko</author>
    <author>Alex</author>
  </authors>
  <commentList>
    <comment ref="D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A6" authorId="1" shape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B6" authorId="1" shapeId="0">
      <text>
        <r>
          <rPr>
            <sz val="8"/>
            <color indexed="81"/>
            <rFont val="Tahoma"/>
            <family val="2"/>
            <charset val="204"/>
          </rPr>
          <t xml:space="preserve"> 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C6" authorId="2" shape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коэффициентов&gt;</t>
        </r>
      </text>
    </comment>
    <comment ref="D6" authorId="1" shape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
&lt;Расчет стомости - формула&gt;&lt;Обоснование коэффициентов&gt;</t>
        </r>
      </text>
    </comment>
    <comment ref="E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</commentList>
</comments>
</file>

<file path=xl/sharedStrings.xml><?xml version="1.0" encoding="utf-8"?>
<sst xmlns="http://schemas.openxmlformats.org/spreadsheetml/2006/main" count="386" uniqueCount="230">
  <si>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</si>
  <si>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</si>
  <si>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</si>
  <si>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цена, руб.</t>
  </si>
  <si>
    <t>Стоимость работ,
руб.</t>
  </si>
  <si>
    <t xml:space="preserve"> </t>
  </si>
  <si>
    <t>Ознакомление с предъявленной документацией и объектом в натуре;</t>
  </si>
  <si>
    <t xml:space="preserve"> 10%;</t>
  </si>
  <si>
    <t>Определение физического объема памятника (со схематическими обмерами, без выдачи чертежей);</t>
  </si>
  <si>
    <t xml:space="preserve"> 32%;</t>
  </si>
  <si>
    <t>Составление акта технического состояния и определение процента утрат его первоначального облика;</t>
  </si>
  <si>
    <t xml:space="preserve"> 20%;</t>
  </si>
  <si>
    <t>Предварительное инженерное обследование с выдачей заключения;</t>
  </si>
  <si>
    <t>Выдача заданий смежникам;</t>
  </si>
  <si>
    <t xml:space="preserve"> 8%;</t>
  </si>
  <si>
    <t>Составление тематического плана научно-проектных работ;</t>
  </si>
  <si>
    <t>Итого "Коэфф. относительной стоимости"</t>
  </si>
  <si>
    <t>Котн=100%</t>
  </si>
  <si>
    <t xml:space="preserve">
(СЦНПР_91-1-22-5) </t>
  </si>
  <si>
    <t xml:space="preserve">СБЦ "Инженерно-геодезические изыскания при строительстве и эксплуатации зданий и сооружений (2006)" табл.53 п.1-1
(СБЦ105-53-1-1) </t>
  </si>
  <si>
    <t>При проведении полевых работ без выплаты работникам полевого довольствия или командировочных;</t>
  </si>
  <si>
    <t>К1=0,85 ОУ п.14;</t>
  </si>
  <si>
    <t>Историко-архивные и библиографические исследования. Историческая записка.</t>
  </si>
  <si>
    <t>Составление библиографического списка и описи архивных дел;</t>
  </si>
  <si>
    <t>Выписки из архивных и библиографических источников, просмотр музейных и архивных фондов, гравюр, акварелей и т.д.;</t>
  </si>
  <si>
    <t xml:space="preserve"> 80%;</t>
  </si>
  <si>
    <t xml:space="preserve">Составление исторических записок, справок по памятникам, имеющим до 30% утрат первоначального облика, с простой историей строительства: на основе опубликованных материалов, 1(печатный лист) </t>
  </si>
  <si>
    <t xml:space="preserve">
(СЦНПР_91-1-5-1-А) </t>
  </si>
  <si>
    <t>Инженерное обследование (крыша, чердак)</t>
  </si>
  <si>
    <t>Обследование и замеры конструкций и их деформаций (без выпуска обмерных чертежей);</t>
  </si>
  <si>
    <t xml:space="preserve"> 30%;</t>
  </si>
  <si>
    <t>Определение и фиксация мест отбора проб;</t>
  </si>
  <si>
    <t xml:space="preserve"> 6%;</t>
  </si>
  <si>
    <t>Определение статической схемы памятника и производство статических расчетов;</t>
  </si>
  <si>
    <t xml:space="preserve"> 11%;</t>
  </si>
  <si>
    <t>Изучение и привязка геологических и топографических условий района памятника;</t>
  </si>
  <si>
    <t>Обработка результатов обследования с выдачей заключения о техническом состоянии памятника;</t>
  </si>
  <si>
    <t xml:space="preserve"> 45%;</t>
  </si>
  <si>
    <t>Отбор образцов</t>
  </si>
  <si>
    <t>Натурное исследование состояния материалов (полевые работы);</t>
  </si>
  <si>
    <t xml:space="preserve"> 15%;</t>
  </si>
  <si>
    <t>Составление заключения о состоянии материалов памятника;</t>
  </si>
  <si>
    <t xml:space="preserve"> 40%;</t>
  </si>
  <si>
    <t>Изучение документации по памятнику (сведения по истории строительства, о строительных материалах, конструкциях);</t>
  </si>
  <si>
    <t xml:space="preserve"> 50%;</t>
  </si>
  <si>
    <t>Изучение документации по памятнику (сведения по истории строительства, о строительных материалах);</t>
  </si>
  <si>
    <t xml:space="preserve">Разработка технологической схемы реставрационных работ на памятнике, 3(схема) </t>
  </si>
  <si>
    <t xml:space="preserve">
(СЦНПР_91-7-18-1-А) </t>
  </si>
  <si>
    <t xml:space="preserve">
(СЦНПР_91-7-18-1-Б) </t>
  </si>
  <si>
    <t xml:space="preserve">Научно-реставрационный отчет: составление научно-методических указаний, технологических карт, рабочих инструкций по производству реставрационных и прочих работ по памятнику, 2(п/п) </t>
  </si>
  <si>
    <t xml:space="preserve">
(СЦНПР_91-1-22-4) </t>
  </si>
  <si>
    <t>Кусл-Выполнение работ в зданиях и сооружениях, являющихся памятником архитектуры или культурного наследия;</t>
  </si>
  <si>
    <t>К1=1,25 Таб.11 п.2;</t>
  </si>
  <si>
    <t>Коб - Ремонт, усиление, частичная замена перекрытий и покрытий: здания бескаркасные многоэтажные - 18,3%*0,25=6,04% только чердачные;</t>
  </si>
  <si>
    <t>Таб.12 п.5 4,58%;</t>
  </si>
  <si>
    <t>Коб - Проект организации строительства (ПОС): здания бескаркасные многоэтажные - 4,0%*0,0,25;</t>
  </si>
  <si>
    <t>Таб.12 п.18 1%;</t>
  </si>
  <si>
    <t>Коб - Сметная документация: здания бескаркасные многоэтажные - 5,0%*0,25;</t>
  </si>
  <si>
    <t>Таб.12 п.19 1,25%;</t>
  </si>
  <si>
    <t>Котн=6,83%</t>
  </si>
  <si>
    <t>Проектная  документация Реставрация</t>
  </si>
  <si>
    <t xml:space="preserve">Пояснительная записка Научно-реставрационный отчет: I категория - памятники истории и культуры XIX - XX вв. с утратой первоначального облика до 50%, 0,25(п/лист текст. материала) </t>
  </si>
  <si>
    <t xml:space="preserve">
(СЦНПР_91-1-22-1) </t>
  </si>
  <si>
    <t>Архитектурно-строительные  чертежи</t>
  </si>
  <si>
    <t xml:space="preserve">Комплексная разработка эскизного проекта реставрации, объем памятника до 1,0 тыс.м3: категория сложности I, 1(памятник) </t>
  </si>
  <si>
    <t xml:space="preserve">
(СЦНПР_91-1-13-3-А) </t>
  </si>
  <si>
    <t>Архитектурные решения. Крыша.</t>
  </si>
  <si>
    <t xml:space="preserve">
(СЦНПР_91-1-16-2-Б) </t>
  </si>
  <si>
    <t xml:space="preserve">Разработка рабочих чертежей общего вида конструкций, масштаб 1:50: категория сложности II, 2(лист) </t>
  </si>
  <si>
    <t xml:space="preserve">
(СЦНПР_91-1-19-1-Б) </t>
  </si>
  <si>
    <t>При частичной замене старых конструкций, реставрации, усилении или укреплении остальных ее элементов, связанных с решением вопроса сохранения или укрепления элементов архитектурной отделки фасадов или интерьера;</t>
  </si>
  <si>
    <t>К2=1,3 Прим.1;</t>
  </si>
  <si>
    <t xml:space="preserve">Пояснительная записка Научно-реставрационный отчет: составление научно-методических указаний, технологических карт, рабочих инструкций по производству реставрационных и прочих работ по памятнику, 0,4(п/п) </t>
  </si>
  <si>
    <t xml:space="preserve">Пояснительная записка Научно-реставрационный отчет: I категория - памятники истории и культуры XIX - XX вв. с утратой первоначального облика до 50%, 1(п/лист текст. материала) </t>
  </si>
  <si>
    <t xml:space="preserve">Составление ведомости объемов реставрационных работ с составлением календарного графика производства работ, 1(ведомость с графиком) </t>
  </si>
  <si>
    <t xml:space="preserve">
(СЦНПР_91-1-20-1) </t>
  </si>
  <si>
    <t xml:space="preserve">Составление ведомости потребности в материальных ресурсах с построением графика потребности в материалах и полуфабрикатах по срокам производства реставрационных работ, 1(ведомость с графиком) </t>
  </si>
  <si>
    <t xml:space="preserve">
(СЦНПР_91-1-20-3) </t>
  </si>
  <si>
    <t xml:space="preserve">Составление ведомости потребности в трудовых ресурсах с составлением графика движения рабочей силы, 1(ведомость с графиком) </t>
  </si>
  <si>
    <t xml:space="preserve">
(СЦНПР_91-1-20-2) </t>
  </si>
  <si>
    <t xml:space="preserve">Составление описи работ (ведомости объемов работ) при наличии по объектам проектно-технической документации: реставрационные, ремонтно-реставрационные, консервационные работы, 12(10 позиций описи) </t>
  </si>
  <si>
    <t xml:space="preserve">
(СЦНПР_91-3-3-2-А) </t>
  </si>
  <si>
    <t xml:space="preserve">Составление описи работ (ведомости объемов работ) при наличии по объектам проектно-технической документации: санитарно-технические и специальные работы, 8(10 позиций описи) </t>
  </si>
  <si>
    <t xml:space="preserve">
(СЦНПР_91-3-3-2-Б) </t>
  </si>
  <si>
    <t xml:space="preserve">Составление смет на реставрационно-восстановительные, реставрационные, консервационные работы , 12(10 позиций сметы) </t>
  </si>
  <si>
    <t xml:space="preserve">
(СЦНПР_91-3-4-1) </t>
  </si>
  <si>
    <t xml:space="preserve">Составление смет на санитарно-технические и специальные работы, 3(10 позиций сметы) </t>
  </si>
  <si>
    <t xml:space="preserve">
(СЦНПР_91-3-4-2) </t>
  </si>
  <si>
    <t xml:space="preserve">Составление выборки ресурсов, выборка ресурсов из сметы трудовых затрат, материалов, машино-смен с подсчетами, проверка ресурсов и арифметических подсчетов по ней; составление ведомости выборки материалов, 92(позиция сметы) </t>
  </si>
  <si>
    <t xml:space="preserve">
(СЦНПР_91-3-7-1) </t>
  </si>
  <si>
    <t xml:space="preserve">Составление калькуляций стоимости строительных материалов, изделий с учетом отпускных цен транспортных расходов, наценок снабженческой, сбытовых организаций и заготовительно-складских расходов, 30(одно наименование материала, изделия) </t>
  </si>
  <si>
    <t xml:space="preserve">
(СЦНПР_91-3-7-4) </t>
  </si>
  <si>
    <t xml:space="preserve">Сводные сметные расчеты Составление смет на реставрационно-восстановительные, реставрационные, консервационные работы, 1,2(10 позиций сметы) </t>
  </si>
  <si>
    <t xml:space="preserve">Составление пояснительной записки к смете, 2(1 стр. машинописного текста через 1,5 интервала) </t>
  </si>
  <si>
    <t xml:space="preserve">
(СЦНПР_91-3-7-3) </t>
  </si>
  <si>
    <t>Рабочая документация</t>
  </si>
  <si>
    <t xml:space="preserve">Научно-реставрационный отчет: составление научно-методических указаний, технологических карт, рабочих инструкций по производству реставрационных и прочих работ по памятнику, 1(п/п) </t>
  </si>
  <si>
    <t>Инженерно-конструкторские рабочие чертежи.</t>
  </si>
  <si>
    <t>Крыша</t>
  </si>
  <si>
    <t xml:space="preserve">Разработка рабочих чертежей узлов и деталей конструкций, масштаб 1:10 - 1:1: категория сложности II М1:20, 3(лист) </t>
  </si>
  <si>
    <t xml:space="preserve">
(СЦНПР_91-1-19-2-Б) </t>
  </si>
  <si>
    <t>Итоги по смете:</t>
  </si>
  <si>
    <t xml:space="preserve">   Итого</t>
  </si>
  <si>
    <t xml:space="preserve">   НДС не облагается  Обоснование: пп 15 п.2 ст.149 ч.II Налогового кодекса РФ </t>
  </si>
  <si>
    <t xml:space="preserve">   ВСЕГО по смете</t>
  </si>
  <si>
    <t>Начальник проектно-сметного отдела      ________________________   Клосинский С.А.</t>
  </si>
  <si>
    <t>4 кв 2024 (ИЗ), Письмо Минстроя России от 18.10.2024 г. № 61327-ИФ/09, прил.5;</t>
  </si>
  <si>
    <t xml:space="preserve">
(СЦНПР_91-8-5-2-А) </t>
  </si>
  <si>
    <t xml:space="preserve">
(СЦНПР_91-1-4-1-В) </t>
  </si>
  <si>
    <t xml:space="preserve">Историко-архивные и библиографические изыскания. Памятники с простой историей строительства, имеющие небольшие переделки: время постройки после XVIII в, 1(памятник) </t>
  </si>
  <si>
    <t>(276*1)*71,21
(A*X)*Кинф</t>
  </si>
  <si>
    <t xml:space="preserve">
(СЦНПР_91-1-21-1) </t>
  </si>
  <si>
    <t>Генеральный план организации реставрации (I категории сложности). Ед. изм. основного показателя (количества) - памятник</t>
  </si>
  <si>
    <t>Альбом фотоиллюстраций с подбором наклейкой, компоновкой и составлением кратких аннотаций, включающих в себя до 20 фотографий. Ед. изм. основного показателя (количества) - альбом до 5 экз.</t>
  </si>
  <si>
    <t>Раздел 1. Предварительные работы.</t>
  </si>
  <si>
    <t>Предварительное ознакомление с литературными и графическими материалами и выдачей краткой справки. Ед. изм. основного показателя (количества) - памятник</t>
  </si>
  <si>
    <t xml:space="preserve">
(СЦНПР_91-1-2-1-А) </t>
  </si>
  <si>
    <t xml:space="preserve">   Итого по разделу 1 Предварительные работы.</t>
  </si>
  <si>
    <t>Натурные обследования. Архитектурные обмеры памятника в целом.</t>
  </si>
  <si>
    <t>Раздел 3.  Проектные работы</t>
  </si>
  <si>
    <t xml:space="preserve">Разработка рабочих чертежей: планы помещений, масштаб 1:25, 1:20: категория сложности II М1:100 План кровли: 1(лист) </t>
  </si>
  <si>
    <t>(20,05*8)*71,21
(A*X)*Кинф</t>
  </si>
  <si>
    <t>Раздел 2. Комплексные научные исследования</t>
  </si>
  <si>
    <t xml:space="preserve">Архитектурные решения. </t>
  </si>
  <si>
    <t>Проект организации реставрации</t>
  </si>
  <si>
    <t>Сметная документация</t>
  </si>
  <si>
    <t xml:space="preserve">   Итого: Сметная документация</t>
  </si>
  <si>
    <t xml:space="preserve">   Итого: Проект организации реставрации</t>
  </si>
  <si>
    <t xml:space="preserve">   Итого: Проектная  документация Реставрация</t>
  </si>
  <si>
    <t xml:space="preserve">   Итого по разделу 2 Комплексные научные исследования.</t>
  </si>
  <si>
    <t xml:space="preserve">   Итоги по разделу 1 Предварительные работы.</t>
  </si>
  <si>
    <t xml:space="preserve">   Итоги по разделу 2 Комплексные научные исследования</t>
  </si>
  <si>
    <t xml:space="preserve">   Итоги по разделу 3 Проектные работы</t>
  </si>
  <si>
    <t>Итого: Рабочая документация</t>
  </si>
  <si>
    <t xml:space="preserve">Инженерное обследование, объем памятника до 5,0 тыс.м3: категория сложности II, 1(памятник) </t>
  </si>
  <si>
    <t xml:space="preserve">
(СЦНПР_91-1-12-2-Б) </t>
  </si>
  <si>
    <t>Раздел 4.  Историко-культурная экспертиза</t>
  </si>
  <si>
    <t xml:space="preserve">   Итоги по разделу 4 Историко-культурная экспертиза</t>
  </si>
  <si>
    <t xml:space="preserve">Письмо Министерства культуры Российской Федерации от 13.10.1998 г. № 01-211/16-14 "Об определении стоимости научно-проектных работ на памятниках истории культуры":
Проведение государственной экспертизы проектной документации нежилых объектов капитального строительства и (или) результатов инженерных изысканий, выполняемых для подготовки такой проектной документации. Ед. изм. - 1 объект
</t>
  </si>
  <si>
    <t xml:space="preserve">Письмо Министерства культуры Российской Федерации от 20.12.2011 г. " 107-01-39/10-КЧ; Постановление Правительства Российской Федерации от 15.07.2009 г. №569 (в ред. Постановления Правительства РФ от 03.12.2022 № 2220);
Коб1=4; Кц1=30; Кц2=4
</t>
  </si>
  <si>
    <t>Коб1=4.</t>
  </si>
  <si>
    <t>Письмо Министерства культуры Российской Федерации от 20.12.2011 г. " 107-01-39/10-КЧ.</t>
  </si>
  <si>
    <t>Количество дней проведения государственной экспертизы проектной документации в соответствии с требованиями Градостроительного кодекса Российской Федерации.</t>
  </si>
  <si>
    <t xml:space="preserve">Кц1=30. </t>
  </si>
  <si>
    <t>Постановление Правительства Российской Федерации от 15.07.2009 г. №569 (в ред. Постановления Правительства РФ от 03.12.2022 № 2220). Количество экспертов.</t>
  </si>
  <si>
    <t xml:space="preserve">Кц2=4. </t>
  </si>
  <si>
    <t>Ц=1*(540)*4*30*4
(A*X)*Коб1*Кц1*Кц2</t>
  </si>
  <si>
    <t xml:space="preserve">   Итого по разделу 4 Историко-культурная экспертиза</t>
  </si>
  <si>
    <t>Проект ремонта чердачного помещения</t>
  </si>
  <si>
    <t xml:space="preserve">   Итого: Проект ремонта чердачного помещения</t>
  </si>
  <si>
    <t xml:space="preserve">   Итого по разделу 3 Проектные работы</t>
  </si>
  <si>
    <t xml:space="preserve">
(СЦНПР_91-1-19-2-А) </t>
  </si>
  <si>
    <t xml:space="preserve">Разработка рабочих чертежей узлов и деталей конструкций, масштаб 1:10 - 1:1: категория сложности I, 5(лист) </t>
  </si>
  <si>
    <t xml:space="preserve">Разработка рабочих чертежей: планы помещений, масштаб 1:25, 1:20: категория сложности II М1:100 План кровли, 1(лист) </t>
  </si>
  <si>
    <t>Отдельно архитектурные детали (масштаб 1:10; 1:5; 1:1), II категории сложности. Ед. изм. основного показателя (количества) - лист</t>
  </si>
  <si>
    <t xml:space="preserve">
(СЦНПР-91-1-16-4-б) </t>
  </si>
  <si>
    <t xml:space="preserve">Рабочие чертежи изделий (разрезы) масштаб 1:10, II категории сложности. Ед. изм. основного показателя (количества) - лист </t>
  </si>
  <si>
    <t xml:space="preserve">
(СЦНПР_91-1-17-1-б) </t>
  </si>
  <si>
    <t>Обмерные работы</t>
  </si>
  <si>
    <t>Обмер конструкций памятника I категории сложности (масштаб чертежа 1:50). Разрезы по кровле. Ед. изм. основного показателя (количества) - лист</t>
  </si>
  <si>
    <t xml:space="preserve">
(СЦНПР-91-1-9-1-а) </t>
  </si>
  <si>
    <t>СЦНПР р.1 гл.2 п.14.а. Полевые работы: обмер памятника в натуре с зарисовкой обмерных схем (кроки), с постановкой на них размеров, нулевки и т.д.</t>
  </si>
  <si>
    <t>СЦНПР р.1 гл.2 п.14.б. Камеральная обработка: составление обмерных чертежей на ватмане по обмерным схемам в заданном масштабе с нанесением надписей, размеров и пр.</t>
  </si>
  <si>
    <t>Квр1=0,42</t>
  </si>
  <si>
    <t>СЦНПР р.1 гл.2 п.9. При производстве архитектурных обмеров.</t>
  </si>
  <si>
    <t>Кц1=0,6</t>
  </si>
  <si>
    <t>СЦНПР р.1 гл.2 п.11 т.1-6. Обмеры памятников в подвалах, затемненных помещениях и на чердаках.</t>
  </si>
  <si>
    <t>Кц2=1,2</t>
  </si>
  <si>
    <t>Квр2=0,5</t>
  </si>
  <si>
    <t>Обмер конструкций памятника I категории сложности (масштаб чертежа 1:10). Узлы стропильной системы. Ед. изм. основного показателя (количества) - лист</t>
  </si>
  <si>
    <t xml:space="preserve">
(СЦНПР-91-1-9-3-а) </t>
  </si>
  <si>
    <t xml:space="preserve">СБЦ "Инженерно-геодезические изыскания при строительстве и эксплуатации зданий и сооружений (2006)" табл.54 п.1-1
(СБЦ105-54-1-1) </t>
  </si>
  <si>
    <t xml:space="preserve">Кровля: Наземная стереофототопографическая съемка фасада здания, сооружения: категория сложности 1, 5(1 базис фотографирования) </t>
  </si>
  <si>
    <t xml:space="preserve">Разработка технологического этапа (операции) с подбором материала, состава, метода реставрации памятника, категория сложности I (крыша), 3(этап (операция)) </t>
  </si>
  <si>
    <t>СМЕТА</t>
  </si>
  <si>
    <t>на проектные (изыскательские) работы</t>
  </si>
  <si>
    <t xml:space="preserve">
(СЦНПР_91-1-1-1-В) </t>
  </si>
  <si>
    <t xml:space="preserve">Предварительные научно-проектные работы на памятники архитектуры и истории: объем памятника до 5,0 тыс.м3, 1(памятник) </t>
  </si>
  <si>
    <t xml:space="preserve">Цветное фото. Размер негатива, отпечатка до 13х18 см, съемка (негатив, слайд), 15(негатив, слайд) </t>
  </si>
  <si>
    <t xml:space="preserve">Исследование состояния архитектурно-конструктивных и декоративных элементов памятника из металла, площадь исследуемой конструкции, элемента до 600 м2: категория сложности I  (кровельное покрытие), 1(памятник) </t>
  </si>
  <si>
    <t xml:space="preserve">
(СЦНПР_91-7-6-5-А) </t>
  </si>
  <si>
    <t xml:space="preserve">Исследование состояния отдельных архитектурно-конструктивных и декоративных элементов памятника, площадь исследуемой конструкции, элемента до 500 м2: категория сложности II(стропильная система), 1(памятник) </t>
  </si>
  <si>
    <t xml:space="preserve">
(СЦНПР_91-7-5-4-Б) </t>
  </si>
  <si>
    <t>Кровля: Составление обмерных чертежей фасада (интерьера) здания стереофотограмметрическим методом, поверхности сооружения в масштабах 1:100: категория сложности 1; 600 (1 м2 поверхности объекта)</t>
  </si>
  <si>
    <t>Кинф=74,38</t>
  </si>
  <si>
    <t>(220*1)
(A*X)*Кинф</t>
  </si>
  <si>
    <t>(11,3*15)
(A*X)*Кинф</t>
  </si>
  <si>
    <t>(620)
(A*X)*К1*Кинф</t>
  </si>
  <si>
    <t>(60*600)
(A*X)*Кинф</t>
  </si>
  <si>
    <t>(560*1)
(A*X)*Кинф</t>
  </si>
  <si>
    <t>(380*1)
(A*X)*Кинф</t>
  </si>
  <si>
    <t>(900*1)
(A*X)*Кинф</t>
  </si>
  <si>
    <t>(137*8)*(0,42+0,5)*74,38*0,6*1,2
(A*X)8(Квр+Квр2)*Кинф*Кц1*Кц2</t>
  </si>
  <si>
    <t>(270*1)
(A*X)*Кинф</t>
  </si>
  <si>
    <t>(110*3)
(A*X)*Кинф</t>
  </si>
  <si>
    <t>(185*3)
(A*X)*Кинф</t>
  </si>
  <si>
    <t>(600*2)
(A*X)*Кинф</t>
  </si>
  <si>
    <t xml:space="preserve">СБЦП "Нормативы подготовки тех.документации для капремонта зданий и сооружений жил.-гражд. назначения (2012)" табл.1 п.1.2
(СБЦП05-1-1-4) </t>
  </si>
  <si>
    <t>(580*0,25)
(A*X)*Кинф</t>
  </si>
  <si>
    <t>(145)*74,38
(A*X)*К1*Кинф</t>
  </si>
  <si>
    <t>(720*1)
(A*X)*Кинф</t>
  </si>
  <si>
    <t>(210*2)
(A*X)*К2*Кинф</t>
  </si>
  <si>
    <t>(200*8)
(A*X)*К2*Кинф</t>
  </si>
  <si>
    <t>(600*0,4)
(A*X)*Кинф</t>
  </si>
  <si>
    <t>(199*1)
(A*X)*Кинф</t>
  </si>
  <si>
    <t>(168*1)
(A*X)*Кинф</t>
  </si>
  <si>
    <t>(480*1)
(A*X)*Кинф</t>
  </si>
  <si>
    <t>(580*4)
(A*X)*Кинф</t>
  </si>
  <si>
    <t>(78*1)
(A*X)*Кинф</t>
  </si>
  <si>
    <t>(600*1)
(A*X)*Кинф</t>
  </si>
  <si>
    <t>(145*1)
(A*X)*К1*Кинф</t>
  </si>
  <si>
    <t>(130*3)*1,3
(A*X)*К1*К2*Кинф</t>
  </si>
  <si>
    <t>(80*5)*1,3
(A*X)*К2*Кинф</t>
  </si>
  <si>
    <t>(200*10)
(A*X)*К2*Кинф</t>
  </si>
  <si>
    <t>(26,3*12)
(A*X)*Кинф</t>
  </si>
  <si>
    <t>(17,6*12)
(A*X)*Кинф</t>
  </si>
  <si>
    <t>(10,6*3)
(A*X)*Кинф</t>
  </si>
  <si>
    <t>(1,7*92)
(A*X)*Кинф</t>
  </si>
  <si>
    <t>(1,1*30)
(A*X)*Кинф</t>
  </si>
  <si>
    <t>(17,6*1,2)
(A*X)*Кинф</t>
  </si>
  <si>
    <t>(4,5*2)
(A*X)*Кинф</t>
  </si>
  <si>
    <t>3 кв 2025 (ИЗ), Письмо Минстроя России от 16.07.2025 г. №41280ИФ/09 прил.3</t>
  </si>
  <si>
    <t>Кинф=76,24</t>
  </si>
  <si>
    <t>Кинф=6,70</t>
  </si>
  <si>
    <t>(1144*5)*0,85*6,70
(A*X)*К1*Кинф</t>
  </si>
  <si>
    <t>(95*7)*(0,42+0,5)*76,24*0,6*1,2
(A*X)8(Квр+Квр2)*Кинф*Кц1*Кц2</t>
  </si>
  <si>
    <t>Ремонт крыши многоквартирного дома по адресу: Всеволожский район, с. Павлово, ул. Быкова, д. 48</t>
  </si>
  <si>
    <t xml:space="preserve">На основании ТП:  Этажность 2; высота 7 м
Объем здания – 2650 м3;
</t>
  </si>
  <si>
    <t xml:space="preserve">Жилые дома: двухэтажные, 2650 (м3) </t>
  </si>
  <si>
    <t>(90000+10*2650)*(1,25))*6,7*0,285
(A+B*X)*(К1)*Кинф*Котн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</si>
</sst>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  <font>
      <i/>
      <sz val="11"/>
      <color theme="1"/>
      <name val="Calibri"/>
      <family val="2"/>
      <charset val="204"/>
      <scheme val="minor"/>
    </font>
    <font>
      <b/>
      <i/>
      <sz val="1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51">
    <xf numFmtId="0" fontId="0" fillId="0" borderId="0" xfId="0"/>
    <xf numFmtId="0" fontId="0" fillId="0" borderId="0" xfId="0" applyFill="1" applyAlignment="1">
      <alignment vertical="center"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9" fillId="0" borderId="0" xfId="0" applyFont="1" applyFill="1"/>
    <xf numFmtId="0" fontId="2" fillId="0" borderId="3" xfId="3" applyFill="1" applyBorder="1">
      <alignment horizontal="center" wrapText="1"/>
    </xf>
    <xf numFmtId="0" fontId="2" fillId="0" borderId="4" xfId="3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5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5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5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17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0" fontId="0" fillId="0" borderId="0" xfId="0" applyFill="1" applyAlignment="1">
      <alignment horizontal="center" vertical="center" wrapText="1"/>
    </xf>
    <xf numFmtId="4" fontId="0" fillId="0" borderId="0" xfId="0" applyNumberFormat="1" applyFill="1" applyAlignment="1">
      <alignment vertical="center" wrapText="1"/>
    </xf>
    <xf numFmtId="4" fontId="0" fillId="0" borderId="0" xfId="0" applyNumberFormat="1" applyFill="1" applyAlignment="1">
      <alignment horizontal="center" vertical="center"/>
    </xf>
    <xf numFmtId="4" fontId="7" fillId="0" borderId="1" xfId="4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12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15" fillId="0" borderId="1" xfId="0" applyNumberFormat="1" applyFont="1" applyFill="1" applyBorder="1" applyAlignment="1">
      <alignment horizontal="right" vertical="top" wrapText="1"/>
    </xf>
    <xf numFmtId="4" fontId="2" fillId="0" borderId="0" xfId="0" applyNumberFormat="1" applyFont="1" applyFill="1" applyAlignment="1">
      <alignment horizontal="right" vertical="top" wrapText="1"/>
    </xf>
    <xf numFmtId="4" fontId="9" fillId="0" borderId="0" xfId="0" applyNumberFormat="1" applyFont="1" applyFill="1"/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72"/>
  <sheetViews>
    <sheetView showGridLines="0" tabSelected="1" view="pageBreakPreview" topLeftCell="A149" zoomScale="85" zoomScaleNormal="78" zoomScaleSheetLayoutView="85" workbookViewId="0">
      <selection activeCell="E169" sqref="E169"/>
    </sheetView>
  </sheetViews>
  <sheetFormatPr defaultColWidth="8.85546875" defaultRowHeight="12.75" outlineLevelRow="1" x14ac:dyDescent="0.2"/>
  <cols>
    <col min="1" max="1" width="4.28515625" style="9" customWidth="1"/>
    <col min="2" max="2" width="46.140625" style="9" customWidth="1"/>
    <col min="3" max="3" width="46.42578125" style="9" customWidth="1"/>
    <col min="4" max="4" width="31.42578125" style="9" customWidth="1"/>
    <col min="5" max="5" width="12.7109375" style="50" customWidth="1"/>
    <col min="6" max="8" width="8.85546875" style="9"/>
    <col min="9" max="9" width="16" style="9" customWidth="1"/>
    <col min="10" max="16384" width="8.85546875" style="9"/>
  </cols>
  <sheetData>
    <row r="1" spans="1:15" s="2" customFormat="1" ht="15" x14ac:dyDescent="0.2">
      <c r="A1" s="1"/>
      <c r="B1" s="37" t="s">
        <v>174</v>
      </c>
      <c r="C1" s="37"/>
      <c r="D1" s="37"/>
      <c r="E1" s="42"/>
      <c r="O1" s="3"/>
    </row>
    <row r="2" spans="1:15" s="2" customFormat="1" ht="15" x14ac:dyDescent="0.2">
      <c r="A2" s="1"/>
      <c r="B2" s="38" t="s">
        <v>175</v>
      </c>
      <c r="C2" s="38"/>
      <c r="D2" s="38"/>
      <c r="E2" s="42"/>
      <c r="O2" s="3"/>
    </row>
    <row r="3" spans="1:15" s="4" customFormat="1" ht="15" x14ac:dyDescent="0.25">
      <c r="A3" s="5"/>
      <c r="B3" s="5"/>
      <c r="C3" s="5"/>
      <c r="D3" s="5"/>
      <c r="E3" s="43"/>
    </row>
    <row r="4" spans="1:15" s="4" customFormat="1" ht="46.5" customHeight="1" x14ac:dyDescent="0.25">
      <c r="A4" s="26" t="s">
        <v>226</v>
      </c>
      <c r="B4" s="26"/>
      <c r="C4" s="26"/>
      <c r="D4" s="26"/>
      <c r="E4" s="26"/>
    </row>
    <row r="5" spans="1:15" ht="79.900000000000006" customHeight="1" x14ac:dyDescent="0.2">
      <c r="A5" s="6" t="s">
        <v>0</v>
      </c>
      <c r="B5" s="7" t="s">
        <v>1</v>
      </c>
      <c r="C5" s="7" t="s">
        <v>2</v>
      </c>
      <c r="D5" s="8" t="s">
        <v>3</v>
      </c>
      <c r="E5" s="44" t="s">
        <v>4</v>
      </c>
    </row>
    <row r="6" spans="1:15" x14ac:dyDescent="0.2">
      <c r="A6" s="10">
        <v>1</v>
      </c>
      <c r="B6" s="11">
        <v>2</v>
      </c>
      <c r="C6" s="11">
        <v>3</v>
      </c>
      <c r="D6" s="10">
        <v>4</v>
      </c>
      <c r="E6" s="10">
        <v>5</v>
      </c>
    </row>
    <row r="7" spans="1:15" ht="20.45" customHeight="1" x14ac:dyDescent="0.2">
      <c r="A7" s="31" t="s">
        <v>114</v>
      </c>
      <c r="B7" s="32"/>
      <c r="C7" s="32"/>
      <c r="D7" s="32"/>
      <c r="E7" s="32"/>
    </row>
    <row r="8" spans="1:15" ht="38.25" x14ac:dyDescent="0.2">
      <c r="A8" s="29">
        <v>1</v>
      </c>
      <c r="B8" s="13" t="s">
        <v>177</v>
      </c>
      <c r="C8" s="14" t="s">
        <v>176</v>
      </c>
      <c r="D8" s="15" t="s">
        <v>187</v>
      </c>
      <c r="E8" s="45">
        <f>620*76.24</f>
        <v>47268.799999999996</v>
      </c>
    </row>
    <row r="9" spans="1:15" ht="24" outlineLevel="1" x14ac:dyDescent="0.2">
      <c r="A9" s="30"/>
      <c r="B9" s="16"/>
      <c r="C9" s="17" t="s">
        <v>221</v>
      </c>
      <c r="D9" s="18" t="s">
        <v>222</v>
      </c>
      <c r="E9" s="46" t="s">
        <v>5</v>
      </c>
    </row>
    <row r="10" spans="1:15" ht="24" outlineLevel="1" x14ac:dyDescent="0.2">
      <c r="A10" s="30"/>
      <c r="B10" s="16"/>
      <c r="C10" s="17" t="s">
        <v>6</v>
      </c>
      <c r="D10" s="18" t="s">
        <v>7</v>
      </c>
      <c r="E10" s="46"/>
    </row>
    <row r="11" spans="1:15" ht="24" outlineLevel="1" x14ac:dyDescent="0.2">
      <c r="A11" s="30"/>
      <c r="B11" s="16"/>
      <c r="C11" s="17" t="s">
        <v>8</v>
      </c>
      <c r="D11" s="18" t="s">
        <v>9</v>
      </c>
      <c r="E11" s="46"/>
    </row>
    <row r="12" spans="1:15" ht="36" outlineLevel="1" x14ac:dyDescent="0.2">
      <c r="A12" s="30"/>
      <c r="B12" s="16"/>
      <c r="C12" s="17" t="s">
        <v>10</v>
      </c>
      <c r="D12" s="18" t="s">
        <v>11</v>
      </c>
      <c r="E12" s="46"/>
    </row>
    <row r="13" spans="1:15" ht="24" outlineLevel="1" x14ac:dyDescent="0.2">
      <c r="A13" s="30"/>
      <c r="B13" s="16"/>
      <c r="C13" s="17" t="s">
        <v>12</v>
      </c>
      <c r="D13" s="18" t="s">
        <v>11</v>
      </c>
      <c r="E13" s="46"/>
    </row>
    <row r="14" spans="1:15" outlineLevel="1" x14ac:dyDescent="0.2">
      <c r="A14" s="30"/>
      <c r="B14" s="16"/>
      <c r="C14" s="17" t="s">
        <v>13</v>
      </c>
      <c r="D14" s="18" t="s">
        <v>14</v>
      </c>
      <c r="E14" s="46"/>
    </row>
    <row r="15" spans="1:15" ht="24" outlineLevel="1" x14ac:dyDescent="0.2">
      <c r="A15" s="30"/>
      <c r="B15" s="16"/>
      <c r="C15" s="17" t="s">
        <v>15</v>
      </c>
      <c r="D15" s="18" t="s">
        <v>7</v>
      </c>
      <c r="E15" s="46"/>
    </row>
    <row r="16" spans="1:15" outlineLevel="1" x14ac:dyDescent="0.2">
      <c r="A16" s="30"/>
      <c r="B16" s="16"/>
      <c r="C16" s="17" t="s">
        <v>16</v>
      </c>
      <c r="D16" s="18" t="s">
        <v>17</v>
      </c>
      <c r="E16" s="46"/>
    </row>
    <row r="17" spans="1:5" ht="51" x14ac:dyDescent="0.2">
      <c r="A17" s="29">
        <v>2</v>
      </c>
      <c r="B17" s="13" t="s">
        <v>115</v>
      </c>
      <c r="C17" s="14" t="s">
        <v>116</v>
      </c>
      <c r="D17" s="15" t="s">
        <v>185</v>
      </c>
      <c r="E17" s="45">
        <f>220*76.24</f>
        <v>16772.8</v>
      </c>
    </row>
    <row r="18" spans="1:5" ht="24" outlineLevel="1" x14ac:dyDescent="0.2">
      <c r="A18" s="30"/>
      <c r="B18" s="16"/>
      <c r="C18" s="17" t="s">
        <v>221</v>
      </c>
      <c r="D18" s="18" t="s">
        <v>222</v>
      </c>
      <c r="E18" s="46" t="s">
        <v>5</v>
      </c>
    </row>
    <row r="19" spans="1:5" ht="38.25" x14ac:dyDescent="0.2">
      <c r="A19" s="29">
        <v>3</v>
      </c>
      <c r="B19" s="13" t="s">
        <v>178</v>
      </c>
      <c r="C19" s="14" t="s">
        <v>107</v>
      </c>
      <c r="D19" s="15" t="s">
        <v>186</v>
      </c>
      <c r="E19" s="45">
        <f>11.3*15*76.248</f>
        <v>12924.036</v>
      </c>
    </row>
    <row r="20" spans="1:5" ht="24" outlineLevel="1" x14ac:dyDescent="0.2">
      <c r="A20" s="30"/>
      <c r="B20" s="16"/>
      <c r="C20" s="17" t="s">
        <v>221</v>
      </c>
      <c r="D20" s="18" t="s">
        <v>222</v>
      </c>
      <c r="E20" s="46" t="s">
        <v>5</v>
      </c>
    </row>
    <row r="21" spans="1:5" ht="30" customHeight="1" x14ac:dyDescent="0.2">
      <c r="A21" s="12"/>
      <c r="B21" s="33" t="s">
        <v>117</v>
      </c>
      <c r="C21" s="34"/>
      <c r="D21" s="34"/>
      <c r="E21" s="47">
        <f>E8+E17+E19</f>
        <v>76965.635999999999</v>
      </c>
    </row>
    <row r="22" spans="1:5" ht="20.45" customHeight="1" x14ac:dyDescent="0.2">
      <c r="A22" s="31" t="s">
        <v>122</v>
      </c>
      <c r="B22" s="32"/>
      <c r="C22" s="32"/>
      <c r="D22" s="32"/>
      <c r="E22" s="32"/>
    </row>
    <row r="23" spans="1:5" ht="33" customHeight="1" x14ac:dyDescent="0.2">
      <c r="A23" s="12"/>
      <c r="B23" s="35" t="s">
        <v>22</v>
      </c>
      <c r="C23" s="36"/>
      <c r="D23" s="36"/>
      <c r="E23" s="36"/>
    </row>
    <row r="24" spans="1:5" ht="51" x14ac:dyDescent="0.2">
      <c r="A24" s="29">
        <v>4</v>
      </c>
      <c r="B24" s="13" t="s">
        <v>109</v>
      </c>
      <c r="C24" s="14" t="s">
        <v>108</v>
      </c>
      <c r="D24" s="15" t="s">
        <v>189</v>
      </c>
      <c r="E24" s="45">
        <f>560*76.24</f>
        <v>42694.399999999994</v>
      </c>
    </row>
    <row r="25" spans="1:5" ht="24" outlineLevel="1" x14ac:dyDescent="0.2">
      <c r="A25" s="30"/>
      <c r="B25" s="16"/>
      <c r="C25" s="17" t="s">
        <v>221</v>
      </c>
      <c r="D25" s="18" t="s">
        <v>222</v>
      </c>
      <c r="E25" s="46" t="s">
        <v>5</v>
      </c>
    </row>
    <row r="26" spans="1:5" ht="24" outlineLevel="1" x14ac:dyDescent="0.2">
      <c r="A26" s="30"/>
      <c r="B26" s="16"/>
      <c r="C26" s="17" t="s">
        <v>23</v>
      </c>
      <c r="D26" s="18" t="s">
        <v>11</v>
      </c>
      <c r="E26" s="46"/>
    </row>
    <row r="27" spans="1:5" ht="36" outlineLevel="1" x14ac:dyDescent="0.2">
      <c r="A27" s="30"/>
      <c r="B27" s="16"/>
      <c r="C27" s="17" t="s">
        <v>24</v>
      </c>
      <c r="D27" s="18" t="s">
        <v>25</v>
      </c>
      <c r="E27" s="46"/>
    </row>
    <row r="28" spans="1:5" outlineLevel="1" x14ac:dyDescent="0.2">
      <c r="A28" s="30"/>
      <c r="B28" s="16"/>
      <c r="C28" s="17" t="s">
        <v>16</v>
      </c>
      <c r="D28" s="18" t="s">
        <v>17</v>
      </c>
      <c r="E28" s="46"/>
    </row>
    <row r="29" spans="1:5" ht="63.75" x14ac:dyDescent="0.2">
      <c r="A29" s="29">
        <v>5</v>
      </c>
      <c r="B29" s="13" t="s">
        <v>26</v>
      </c>
      <c r="C29" s="14" t="s">
        <v>27</v>
      </c>
      <c r="D29" s="15" t="s">
        <v>190</v>
      </c>
      <c r="E29" s="45">
        <f>1*380*76.24</f>
        <v>28971.199999999997</v>
      </c>
    </row>
    <row r="30" spans="1:5" ht="24" outlineLevel="1" x14ac:dyDescent="0.2">
      <c r="A30" s="30"/>
      <c r="B30" s="16"/>
      <c r="C30" s="17" t="s">
        <v>221</v>
      </c>
      <c r="D30" s="18" t="s">
        <v>222</v>
      </c>
      <c r="E30" s="46" t="s">
        <v>5</v>
      </c>
    </row>
    <row r="31" spans="1:5" ht="42" customHeight="1" x14ac:dyDescent="0.2">
      <c r="A31" s="27" t="s">
        <v>118</v>
      </c>
      <c r="B31" s="28"/>
      <c r="C31" s="28"/>
      <c r="D31" s="28"/>
      <c r="E31" s="28"/>
    </row>
    <row r="32" spans="1:5" ht="51" x14ac:dyDescent="0.2">
      <c r="A32" s="29">
        <v>6</v>
      </c>
      <c r="B32" s="13" t="s">
        <v>172</v>
      </c>
      <c r="C32" s="14" t="s">
        <v>19</v>
      </c>
      <c r="D32" s="15" t="s">
        <v>224</v>
      </c>
      <c r="E32" s="45">
        <f>1144*5*0.85*6.7</f>
        <v>32575.4</v>
      </c>
    </row>
    <row r="33" spans="1:5" ht="36" outlineLevel="1" x14ac:dyDescent="0.2">
      <c r="A33" s="30"/>
      <c r="B33" s="16"/>
      <c r="C33" s="17" t="s">
        <v>20</v>
      </c>
      <c r="D33" s="18" t="s">
        <v>21</v>
      </c>
      <c r="E33" s="46" t="s">
        <v>5</v>
      </c>
    </row>
    <row r="34" spans="1:5" ht="24" outlineLevel="1" x14ac:dyDescent="0.2">
      <c r="A34" s="30"/>
      <c r="B34" s="16"/>
      <c r="C34" s="17" t="s">
        <v>221</v>
      </c>
      <c r="D34" s="18" t="s">
        <v>223</v>
      </c>
      <c r="E34" s="46" t="s">
        <v>5</v>
      </c>
    </row>
    <row r="35" spans="1:5" ht="63.75" x14ac:dyDescent="0.2">
      <c r="A35" s="19">
        <v>7</v>
      </c>
      <c r="B35" s="13" t="s">
        <v>183</v>
      </c>
      <c r="C35" s="14" t="s">
        <v>171</v>
      </c>
      <c r="D35" s="15" t="s">
        <v>188</v>
      </c>
      <c r="E35" s="45">
        <f>(60*600)*6.7</f>
        <v>241200</v>
      </c>
    </row>
    <row r="36" spans="1:5" ht="20.45" customHeight="1" x14ac:dyDescent="0.2">
      <c r="A36" s="12"/>
      <c r="B36" s="35" t="s">
        <v>28</v>
      </c>
      <c r="C36" s="36"/>
      <c r="D36" s="36"/>
      <c r="E36" s="36"/>
    </row>
    <row r="37" spans="1:5" ht="25.5" x14ac:dyDescent="0.2">
      <c r="A37" s="19">
        <v>8</v>
      </c>
      <c r="B37" s="13" t="s">
        <v>134</v>
      </c>
      <c r="C37" s="14" t="s">
        <v>135</v>
      </c>
      <c r="D37" s="15" t="s">
        <v>191</v>
      </c>
      <c r="E37" s="45">
        <f>900*76.24</f>
        <v>68616</v>
      </c>
    </row>
    <row r="38" spans="1:5" ht="24" outlineLevel="1" x14ac:dyDescent="0.2">
      <c r="A38" s="19"/>
      <c r="B38" s="16"/>
      <c r="C38" s="17" t="s">
        <v>221</v>
      </c>
      <c r="D38" s="18" t="s">
        <v>222</v>
      </c>
      <c r="E38" s="46" t="s">
        <v>5</v>
      </c>
    </row>
    <row r="39" spans="1:5" ht="24" outlineLevel="1" x14ac:dyDescent="0.2">
      <c r="A39" s="19"/>
      <c r="B39" s="16"/>
      <c r="C39" s="17" t="s">
        <v>29</v>
      </c>
      <c r="D39" s="18" t="s">
        <v>30</v>
      </c>
      <c r="E39" s="46"/>
    </row>
    <row r="40" spans="1:5" ht="15" outlineLevel="1" x14ac:dyDescent="0.2">
      <c r="A40" s="19"/>
      <c r="B40" s="16"/>
      <c r="C40" s="17" t="s">
        <v>31</v>
      </c>
      <c r="D40" s="18" t="s">
        <v>32</v>
      </c>
      <c r="E40" s="46"/>
    </row>
    <row r="41" spans="1:5" ht="24" outlineLevel="1" x14ac:dyDescent="0.2">
      <c r="A41" s="19"/>
      <c r="B41" s="16"/>
      <c r="C41" s="17" t="s">
        <v>33</v>
      </c>
      <c r="D41" s="18" t="s">
        <v>34</v>
      </c>
      <c r="E41" s="46"/>
    </row>
    <row r="42" spans="1:5" ht="24" outlineLevel="1" x14ac:dyDescent="0.2">
      <c r="A42" s="19"/>
      <c r="B42" s="16"/>
      <c r="C42" s="17" t="s">
        <v>35</v>
      </c>
      <c r="D42" s="18" t="s">
        <v>14</v>
      </c>
      <c r="E42" s="46"/>
    </row>
    <row r="43" spans="1:5" ht="24" outlineLevel="1" x14ac:dyDescent="0.2">
      <c r="A43" s="19"/>
      <c r="B43" s="16"/>
      <c r="C43" s="17" t="s">
        <v>36</v>
      </c>
      <c r="D43" s="18" t="s">
        <v>37</v>
      </c>
      <c r="E43" s="46"/>
    </row>
    <row r="44" spans="1:5" ht="15" outlineLevel="1" x14ac:dyDescent="0.2">
      <c r="A44" s="19"/>
      <c r="B44" s="16"/>
      <c r="C44" s="17" t="s">
        <v>16</v>
      </c>
      <c r="D44" s="18" t="s">
        <v>17</v>
      </c>
      <c r="E44" s="46"/>
    </row>
    <row r="45" spans="1:5" ht="20.45" customHeight="1" x14ac:dyDescent="0.2">
      <c r="A45" s="12"/>
      <c r="B45" s="35" t="s">
        <v>158</v>
      </c>
      <c r="C45" s="36"/>
      <c r="D45" s="36"/>
      <c r="E45" s="36"/>
    </row>
    <row r="46" spans="1:5" ht="51" x14ac:dyDescent="0.2">
      <c r="A46" s="19">
        <v>9</v>
      </c>
      <c r="B46" s="13" t="s">
        <v>159</v>
      </c>
      <c r="C46" s="14" t="s">
        <v>160</v>
      </c>
      <c r="D46" s="15" t="s">
        <v>192</v>
      </c>
      <c r="E46" s="45">
        <f>(137*8)*(0.42+0.5)*76.24*0.6*1.2</f>
        <v>55349.508095999983</v>
      </c>
    </row>
    <row r="47" spans="1:5" ht="24" outlineLevel="1" x14ac:dyDescent="0.2">
      <c r="A47" s="19"/>
      <c r="B47" s="16"/>
      <c r="C47" s="17" t="s">
        <v>221</v>
      </c>
      <c r="D47" s="18" t="s">
        <v>222</v>
      </c>
      <c r="E47" s="46" t="s">
        <v>5</v>
      </c>
    </row>
    <row r="48" spans="1:5" ht="24" outlineLevel="1" x14ac:dyDescent="0.2">
      <c r="A48" s="19"/>
      <c r="B48" s="16"/>
      <c r="C48" s="17" t="s">
        <v>164</v>
      </c>
      <c r="D48" s="18" t="s">
        <v>165</v>
      </c>
      <c r="E48" s="46"/>
    </row>
    <row r="49" spans="1:5" ht="24" outlineLevel="1" x14ac:dyDescent="0.2">
      <c r="A49" s="19"/>
      <c r="B49" s="16"/>
      <c r="C49" s="17" t="s">
        <v>166</v>
      </c>
      <c r="D49" s="18" t="s">
        <v>167</v>
      </c>
      <c r="E49" s="46"/>
    </row>
    <row r="50" spans="1:5" ht="48" outlineLevel="1" x14ac:dyDescent="0.2">
      <c r="A50" s="19"/>
      <c r="B50" s="16"/>
      <c r="C50" s="17" t="s">
        <v>161</v>
      </c>
      <c r="D50" s="18" t="s">
        <v>163</v>
      </c>
      <c r="E50" s="46"/>
    </row>
    <row r="51" spans="1:5" ht="53.25" customHeight="1" outlineLevel="1" x14ac:dyDescent="0.2">
      <c r="A51" s="19"/>
      <c r="B51" s="16"/>
      <c r="C51" s="17" t="s">
        <v>162</v>
      </c>
      <c r="D51" s="18" t="s">
        <v>168</v>
      </c>
      <c r="E51" s="46"/>
    </row>
    <row r="52" spans="1:5" ht="51" x14ac:dyDescent="0.2">
      <c r="A52" s="19">
        <v>10</v>
      </c>
      <c r="B52" s="13" t="s">
        <v>169</v>
      </c>
      <c r="C52" s="14" t="s">
        <v>170</v>
      </c>
      <c r="D52" s="15" t="s">
        <v>225</v>
      </c>
      <c r="E52" s="45">
        <f>(95*7)*(0.42+0.5)*76.24*0.6*1.2</f>
        <v>33583.415039999993</v>
      </c>
    </row>
    <row r="53" spans="1:5" ht="24" outlineLevel="1" x14ac:dyDescent="0.2">
      <c r="A53" s="19"/>
      <c r="B53" s="16"/>
      <c r="C53" s="17" t="s">
        <v>221</v>
      </c>
      <c r="D53" s="18" t="s">
        <v>222</v>
      </c>
      <c r="E53" s="46" t="s">
        <v>5</v>
      </c>
    </row>
    <row r="54" spans="1:5" ht="24" outlineLevel="1" x14ac:dyDescent="0.2">
      <c r="A54" s="19"/>
      <c r="B54" s="16"/>
      <c r="C54" s="17" t="s">
        <v>164</v>
      </c>
      <c r="D54" s="18" t="s">
        <v>165</v>
      </c>
      <c r="E54" s="46"/>
    </row>
    <row r="55" spans="1:5" ht="24" outlineLevel="1" x14ac:dyDescent="0.2">
      <c r="A55" s="19"/>
      <c r="B55" s="16"/>
      <c r="C55" s="17" t="s">
        <v>166</v>
      </c>
      <c r="D55" s="18" t="s">
        <v>167</v>
      </c>
      <c r="E55" s="46"/>
    </row>
    <row r="56" spans="1:5" ht="48" outlineLevel="1" x14ac:dyDescent="0.2">
      <c r="A56" s="19"/>
      <c r="B56" s="16"/>
      <c r="C56" s="17" t="s">
        <v>161</v>
      </c>
      <c r="D56" s="18" t="s">
        <v>163</v>
      </c>
      <c r="E56" s="46"/>
    </row>
    <row r="57" spans="1:5" ht="53.25" customHeight="1" outlineLevel="1" x14ac:dyDescent="0.2">
      <c r="A57" s="19"/>
      <c r="B57" s="16"/>
      <c r="C57" s="17" t="s">
        <v>162</v>
      </c>
      <c r="D57" s="18" t="s">
        <v>168</v>
      </c>
      <c r="E57" s="46"/>
    </row>
    <row r="58" spans="1:5" ht="20.45" customHeight="1" x14ac:dyDescent="0.2">
      <c r="A58" s="19"/>
      <c r="B58" s="35" t="s">
        <v>38</v>
      </c>
      <c r="C58" s="36"/>
      <c r="D58" s="36"/>
      <c r="E58" s="36"/>
    </row>
    <row r="59" spans="1:5" ht="63.75" x14ac:dyDescent="0.2">
      <c r="A59" s="19">
        <v>11</v>
      </c>
      <c r="B59" s="13" t="s">
        <v>179</v>
      </c>
      <c r="C59" s="14" t="s">
        <v>180</v>
      </c>
      <c r="D59" s="15" t="s">
        <v>193</v>
      </c>
      <c r="E59" s="45">
        <f>270*76.24</f>
        <v>20584.8</v>
      </c>
    </row>
    <row r="60" spans="1:5" ht="24" outlineLevel="1" x14ac:dyDescent="0.2">
      <c r="A60" s="19"/>
      <c r="B60" s="16"/>
      <c r="C60" s="17" t="s">
        <v>221</v>
      </c>
      <c r="D60" s="18" t="s">
        <v>222</v>
      </c>
      <c r="E60" s="46" t="s">
        <v>5</v>
      </c>
    </row>
    <row r="61" spans="1:5" ht="24" outlineLevel="1" x14ac:dyDescent="0.2">
      <c r="A61" s="19"/>
      <c r="B61" s="16"/>
      <c r="C61" s="17" t="s">
        <v>39</v>
      </c>
      <c r="D61" s="18" t="s">
        <v>37</v>
      </c>
      <c r="E61" s="46"/>
    </row>
    <row r="62" spans="1:5" ht="36" outlineLevel="1" x14ac:dyDescent="0.2">
      <c r="A62" s="19"/>
      <c r="B62" s="16"/>
      <c r="C62" s="17" t="s">
        <v>43</v>
      </c>
      <c r="D62" s="18" t="s">
        <v>40</v>
      </c>
      <c r="E62" s="46"/>
    </row>
    <row r="63" spans="1:5" ht="24" outlineLevel="1" x14ac:dyDescent="0.2">
      <c r="A63" s="19"/>
      <c r="B63" s="16"/>
      <c r="C63" s="17" t="s">
        <v>41</v>
      </c>
      <c r="D63" s="18" t="s">
        <v>42</v>
      </c>
      <c r="E63" s="46"/>
    </row>
    <row r="64" spans="1:5" ht="15" outlineLevel="1" x14ac:dyDescent="0.2">
      <c r="A64" s="19"/>
      <c r="B64" s="16"/>
      <c r="C64" s="17" t="s">
        <v>16</v>
      </c>
      <c r="D64" s="18" t="s">
        <v>17</v>
      </c>
      <c r="E64" s="46"/>
    </row>
    <row r="65" spans="1:5" ht="63.75" x14ac:dyDescent="0.2">
      <c r="A65" s="19">
        <v>12</v>
      </c>
      <c r="B65" s="13" t="s">
        <v>181</v>
      </c>
      <c r="C65" s="14" t="s">
        <v>182</v>
      </c>
      <c r="D65" s="15" t="s">
        <v>189</v>
      </c>
      <c r="E65" s="45">
        <f>560*76.24</f>
        <v>42694.399999999994</v>
      </c>
    </row>
    <row r="66" spans="1:5" ht="24" outlineLevel="1" x14ac:dyDescent="0.2">
      <c r="A66" s="19"/>
      <c r="B66" s="16"/>
      <c r="C66" s="17" t="s">
        <v>221</v>
      </c>
      <c r="D66" s="18" t="s">
        <v>222</v>
      </c>
      <c r="E66" s="46" t="s">
        <v>5</v>
      </c>
    </row>
    <row r="67" spans="1:5" ht="24" outlineLevel="1" x14ac:dyDescent="0.2">
      <c r="A67" s="19"/>
      <c r="B67" s="16"/>
      <c r="C67" s="17" t="s">
        <v>39</v>
      </c>
      <c r="D67" s="18" t="s">
        <v>44</v>
      </c>
      <c r="E67" s="46"/>
    </row>
    <row r="68" spans="1:5" ht="36" outlineLevel="1" x14ac:dyDescent="0.2">
      <c r="A68" s="19"/>
      <c r="B68" s="16"/>
      <c r="C68" s="17" t="s">
        <v>45</v>
      </c>
      <c r="D68" s="18" t="s">
        <v>7</v>
      </c>
      <c r="E68" s="46"/>
    </row>
    <row r="69" spans="1:5" ht="24" outlineLevel="1" x14ac:dyDescent="0.2">
      <c r="A69" s="19"/>
      <c r="B69" s="16"/>
      <c r="C69" s="17" t="s">
        <v>41</v>
      </c>
      <c r="D69" s="18" t="s">
        <v>42</v>
      </c>
      <c r="E69" s="46"/>
    </row>
    <row r="70" spans="1:5" ht="15" outlineLevel="1" x14ac:dyDescent="0.2">
      <c r="A70" s="19"/>
      <c r="B70" s="16"/>
      <c r="C70" s="17" t="s">
        <v>16</v>
      </c>
      <c r="D70" s="18" t="s">
        <v>17</v>
      </c>
      <c r="E70" s="46"/>
    </row>
    <row r="71" spans="1:5" ht="25.5" x14ac:dyDescent="0.2">
      <c r="A71" s="19">
        <v>13</v>
      </c>
      <c r="B71" s="13" t="s">
        <v>46</v>
      </c>
      <c r="C71" s="14" t="s">
        <v>47</v>
      </c>
      <c r="D71" s="15" t="s">
        <v>194</v>
      </c>
      <c r="E71" s="45">
        <f>110*3*76.24</f>
        <v>25159.199999999997</v>
      </c>
    </row>
    <row r="72" spans="1:5" ht="24" outlineLevel="1" x14ac:dyDescent="0.2">
      <c r="A72" s="19"/>
      <c r="B72" s="16"/>
      <c r="C72" s="17" t="s">
        <v>221</v>
      </c>
      <c r="D72" s="18" t="s">
        <v>222</v>
      </c>
      <c r="E72" s="46" t="s">
        <v>5</v>
      </c>
    </row>
    <row r="73" spans="1:5" ht="51" x14ac:dyDescent="0.2">
      <c r="A73" s="19">
        <v>14</v>
      </c>
      <c r="B73" s="13" t="s">
        <v>173</v>
      </c>
      <c r="C73" s="14" t="s">
        <v>48</v>
      </c>
      <c r="D73" s="15" t="s">
        <v>195</v>
      </c>
      <c r="E73" s="45">
        <f>185*3*76.24</f>
        <v>42313.2</v>
      </c>
    </row>
    <row r="74" spans="1:5" ht="24" outlineLevel="1" x14ac:dyDescent="0.2">
      <c r="A74" s="19"/>
      <c r="B74" s="16"/>
      <c r="C74" s="17" t="s">
        <v>221</v>
      </c>
      <c r="D74" s="18" t="s">
        <v>222</v>
      </c>
      <c r="E74" s="46" t="s">
        <v>5</v>
      </c>
    </row>
    <row r="75" spans="1:5" ht="63.75" x14ac:dyDescent="0.2">
      <c r="A75" s="19">
        <v>15</v>
      </c>
      <c r="B75" s="13" t="s">
        <v>49</v>
      </c>
      <c r="C75" s="14" t="s">
        <v>50</v>
      </c>
      <c r="D75" s="15" t="s">
        <v>196</v>
      </c>
      <c r="E75" s="45">
        <f>600*2*76.24</f>
        <v>91488</v>
      </c>
    </row>
    <row r="76" spans="1:5" ht="24" outlineLevel="1" x14ac:dyDescent="0.2">
      <c r="A76" s="19"/>
      <c r="B76" s="16"/>
      <c r="C76" s="17" t="s">
        <v>221</v>
      </c>
      <c r="D76" s="18" t="s">
        <v>222</v>
      </c>
      <c r="E76" s="46" t="s">
        <v>5</v>
      </c>
    </row>
    <row r="77" spans="1:5" ht="36" customHeight="1" x14ac:dyDescent="0.2">
      <c r="A77" s="12"/>
      <c r="B77" s="33" t="s">
        <v>129</v>
      </c>
      <c r="C77" s="34"/>
      <c r="D77" s="34"/>
      <c r="E77" s="47">
        <f>E75+E73+E71+E65+E59+E52+E46+E37+E35+E32+E29+E24</f>
        <v>725229.52313599992</v>
      </c>
    </row>
    <row r="78" spans="1:5" ht="20.45" customHeight="1" x14ac:dyDescent="0.2">
      <c r="A78" s="31" t="s">
        <v>119</v>
      </c>
      <c r="B78" s="32"/>
      <c r="C78" s="32"/>
      <c r="D78" s="32"/>
      <c r="E78" s="32"/>
    </row>
    <row r="79" spans="1:5" ht="66" customHeight="1" x14ac:dyDescent="0.2">
      <c r="A79" s="12"/>
      <c r="B79" s="35" t="s">
        <v>227</v>
      </c>
      <c r="C79" s="36"/>
      <c r="D79" s="36"/>
      <c r="E79" s="36"/>
    </row>
    <row r="80" spans="1:5" ht="17.25" customHeight="1" x14ac:dyDescent="0.2">
      <c r="A80" s="27" t="s">
        <v>148</v>
      </c>
      <c r="B80" s="28"/>
      <c r="C80" s="28"/>
      <c r="D80" s="28"/>
      <c r="E80" s="28"/>
    </row>
    <row r="81" spans="1:5" ht="51" x14ac:dyDescent="0.2">
      <c r="A81" s="29">
        <v>16</v>
      </c>
      <c r="B81" s="13" t="s">
        <v>228</v>
      </c>
      <c r="C81" s="14" t="s">
        <v>197</v>
      </c>
      <c r="D81" s="15" t="s">
        <v>229</v>
      </c>
      <c r="E81" s="45">
        <f>(90000+10*2650)*1.25*6.7*0.0683</f>
        <v>66639.456250000003</v>
      </c>
    </row>
    <row r="82" spans="1:5" ht="36" outlineLevel="1" x14ac:dyDescent="0.2">
      <c r="A82" s="30"/>
      <c r="B82" s="16"/>
      <c r="C82" s="17" t="s">
        <v>51</v>
      </c>
      <c r="D82" s="18" t="s">
        <v>52</v>
      </c>
      <c r="E82" s="46" t="s">
        <v>5</v>
      </c>
    </row>
    <row r="83" spans="1:5" ht="24" outlineLevel="1" x14ac:dyDescent="0.2">
      <c r="A83" s="30"/>
      <c r="B83" s="16"/>
      <c r="C83" s="17" t="s">
        <v>221</v>
      </c>
      <c r="D83" s="18" t="s">
        <v>223</v>
      </c>
      <c r="E83" s="46" t="s">
        <v>5</v>
      </c>
    </row>
    <row r="84" spans="1:5" ht="66" customHeight="1" outlineLevel="1" x14ac:dyDescent="0.2">
      <c r="A84" s="30"/>
      <c r="B84" s="16"/>
      <c r="C84" s="17" t="s">
        <v>53</v>
      </c>
      <c r="D84" s="18" t="s">
        <v>54</v>
      </c>
      <c r="E84" s="46">
        <v>4</v>
      </c>
    </row>
    <row r="85" spans="1:5" ht="24" outlineLevel="1" x14ac:dyDescent="0.2">
      <c r="A85" s="30"/>
      <c r="B85" s="16"/>
      <c r="C85" s="17" t="s">
        <v>55</v>
      </c>
      <c r="D85" s="18" t="s">
        <v>56</v>
      </c>
      <c r="E85" s="46">
        <f>(90000+10*2650)*1.25*6.7*0.01</f>
        <v>9756.875</v>
      </c>
    </row>
    <row r="86" spans="1:5" ht="24" outlineLevel="1" x14ac:dyDescent="0.2">
      <c r="A86" s="30"/>
      <c r="B86" s="16"/>
      <c r="C86" s="17" t="s">
        <v>57</v>
      </c>
      <c r="D86" s="18" t="s">
        <v>58</v>
      </c>
      <c r="E86" s="46">
        <f>(90000+10*2650)*1.25*6.7*0.0125</f>
        <v>12196.09375</v>
      </c>
    </row>
    <row r="87" spans="1:5" outlineLevel="1" x14ac:dyDescent="0.2">
      <c r="A87" s="30"/>
      <c r="B87" s="16"/>
      <c r="C87" s="17" t="s">
        <v>16</v>
      </c>
      <c r="D87" s="18" t="s">
        <v>59</v>
      </c>
      <c r="E87" s="46"/>
    </row>
    <row r="88" spans="1:5" ht="15" x14ac:dyDescent="0.2">
      <c r="A88" s="20"/>
      <c r="B88" s="39" t="s">
        <v>149</v>
      </c>
      <c r="C88" s="40"/>
      <c r="D88" s="40"/>
      <c r="E88" s="48">
        <f>E81+E85+E86</f>
        <v>88592.425000000003</v>
      </c>
    </row>
    <row r="89" spans="1:5" ht="20.45" customHeight="1" x14ac:dyDescent="0.2">
      <c r="A89" s="27" t="s">
        <v>60</v>
      </c>
      <c r="B89" s="28"/>
      <c r="C89" s="28"/>
      <c r="D89" s="28"/>
      <c r="E89" s="28"/>
    </row>
    <row r="90" spans="1:5" ht="51" x14ac:dyDescent="0.2">
      <c r="A90" s="29">
        <v>17</v>
      </c>
      <c r="B90" s="13" t="s">
        <v>61</v>
      </c>
      <c r="C90" s="14" t="s">
        <v>62</v>
      </c>
      <c r="D90" s="15" t="s">
        <v>198</v>
      </c>
      <c r="E90" s="45">
        <f>580*0.25*76.24</f>
        <v>11054.8</v>
      </c>
    </row>
    <row r="91" spans="1:5" ht="24" outlineLevel="1" x14ac:dyDescent="0.2">
      <c r="A91" s="30"/>
      <c r="B91" s="16"/>
      <c r="C91" s="17" t="s">
        <v>221</v>
      </c>
      <c r="D91" s="18" t="s">
        <v>222</v>
      </c>
      <c r="E91" s="46" t="s">
        <v>5</v>
      </c>
    </row>
    <row r="92" spans="1:5" ht="20.45" customHeight="1" x14ac:dyDescent="0.2">
      <c r="A92" s="12"/>
      <c r="B92" s="35" t="s">
        <v>63</v>
      </c>
      <c r="C92" s="36"/>
      <c r="D92" s="36"/>
      <c r="E92" s="36"/>
    </row>
    <row r="93" spans="1:5" ht="38.25" x14ac:dyDescent="0.2">
      <c r="A93" s="29">
        <v>18</v>
      </c>
      <c r="B93" s="13" t="s">
        <v>64</v>
      </c>
      <c r="C93" s="14" t="s">
        <v>65</v>
      </c>
      <c r="D93" s="15" t="s">
        <v>200</v>
      </c>
      <c r="E93" s="45">
        <f>720*76.24</f>
        <v>54892.799999999996</v>
      </c>
    </row>
    <row r="94" spans="1:5" ht="24" outlineLevel="1" x14ac:dyDescent="0.2">
      <c r="A94" s="30"/>
      <c r="B94" s="16"/>
      <c r="C94" s="17" t="s">
        <v>221</v>
      </c>
      <c r="D94" s="18" t="s">
        <v>222</v>
      </c>
      <c r="E94" s="46" t="s">
        <v>5</v>
      </c>
    </row>
    <row r="95" spans="1:5" ht="20.45" customHeight="1" x14ac:dyDescent="0.2">
      <c r="A95" s="12"/>
      <c r="B95" s="35" t="s">
        <v>123</v>
      </c>
      <c r="C95" s="36"/>
      <c r="D95" s="36"/>
      <c r="E95" s="36"/>
    </row>
    <row r="96" spans="1:5" ht="38.25" x14ac:dyDescent="0.2">
      <c r="A96" s="29">
        <v>19</v>
      </c>
      <c r="B96" s="13" t="s">
        <v>120</v>
      </c>
      <c r="C96" s="14" t="s">
        <v>67</v>
      </c>
      <c r="D96" s="15" t="s">
        <v>199</v>
      </c>
      <c r="E96" s="45">
        <f>146*76.24</f>
        <v>11131.039999999999</v>
      </c>
    </row>
    <row r="97" spans="1:5" ht="24" outlineLevel="1" x14ac:dyDescent="0.2">
      <c r="A97" s="30"/>
      <c r="B97" s="16"/>
      <c r="C97" s="17" t="s">
        <v>221</v>
      </c>
      <c r="D97" s="18" t="s">
        <v>222</v>
      </c>
      <c r="E97" s="46" t="s">
        <v>5</v>
      </c>
    </row>
    <row r="98" spans="1:5" ht="20.45" customHeight="1" x14ac:dyDescent="0.2">
      <c r="A98" s="12"/>
      <c r="B98" s="35" t="s">
        <v>97</v>
      </c>
      <c r="C98" s="36"/>
      <c r="D98" s="36"/>
      <c r="E98" s="36"/>
    </row>
    <row r="99" spans="1:5" ht="38.25" x14ac:dyDescent="0.2">
      <c r="A99" s="29">
        <v>20</v>
      </c>
      <c r="B99" s="13" t="s">
        <v>68</v>
      </c>
      <c r="C99" s="14" t="s">
        <v>69</v>
      </c>
      <c r="D99" s="15" t="s">
        <v>201</v>
      </c>
      <c r="E99" s="45">
        <f>210*2*76.24</f>
        <v>32020.799999999999</v>
      </c>
    </row>
    <row r="100" spans="1:5" ht="24" outlineLevel="1" x14ac:dyDescent="0.2">
      <c r="A100" s="30"/>
      <c r="B100" s="16"/>
      <c r="C100" s="17" t="s">
        <v>106</v>
      </c>
      <c r="D100" s="18" t="s">
        <v>184</v>
      </c>
      <c r="E100" s="46" t="s">
        <v>5</v>
      </c>
    </row>
    <row r="101" spans="1:5" ht="38.25" x14ac:dyDescent="0.2">
      <c r="A101" s="29">
        <v>21</v>
      </c>
      <c r="B101" s="13" t="s">
        <v>156</v>
      </c>
      <c r="C101" s="14" t="s">
        <v>157</v>
      </c>
      <c r="D101" s="15" t="s">
        <v>202</v>
      </c>
      <c r="E101" s="45">
        <f>200*8*76.24</f>
        <v>121983.99999999999</v>
      </c>
    </row>
    <row r="102" spans="1:5" ht="24" outlineLevel="1" x14ac:dyDescent="0.2">
      <c r="A102" s="30"/>
      <c r="B102" s="16"/>
      <c r="C102" s="17" t="s">
        <v>221</v>
      </c>
      <c r="D102" s="18" t="s">
        <v>222</v>
      </c>
      <c r="E102" s="46" t="s">
        <v>5</v>
      </c>
    </row>
    <row r="103" spans="1:5" ht="63.75" x14ac:dyDescent="0.2">
      <c r="A103" s="29">
        <v>22</v>
      </c>
      <c r="B103" s="13" t="s">
        <v>72</v>
      </c>
      <c r="C103" s="14" t="s">
        <v>50</v>
      </c>
      <c r="D103" s="15" t="s">
        <v>203</v>
      </c>
      <c r="E103" s="45">
        <f>600*0.4*76.24</f>
        <v>18297.599999999999</v>
      </c>
    </row>
    <row r="104" spans="1:5" ht="24" outlineLevel="1" x14ac:dyDescent="0.2">
      <c r="A104" s="30"/>
      <c r="B104" s="16"/>
      <c r="C104" s="17" t="s">
        <v>221</v>
      </c>
      <c r="D104" s="18" t="s">
        <v>222</v>
      </c>
      <c r="E104" s="46" t="s">
        <v>5</v>
      </c>
    </row>
    <row r="105" spans="1:5" ht="15" x14ac:dyDescent="0.2">
      <c r="A105" s="20"/>
      <c r="B105" s="39" t="s">
        <v>128</v>
      </c>
      <c r="C105" s="40"/>
      <c r="D105" s="40"/>
      <c r="E105" s="48">
        <f>E90+E93+E96+E99+E101+E103</f>
        <v>249381.03999999998</v>
      </c>
    </row>
    <row r="106" spans="1:5" ht="20.45" customHeight="1" x14ac:dyDescent="0.2">
      <c r="A106" s="27" t="s">
        <v>124</v>
      </c>
      <c r="B106" s="28"/>
      <c r="C106" s="28"/>
      <c r="D106" s="28"/>
      <c r="E106" s="28"/>
    </row>
    <row r="107" spans="1:5" ht="51" x14ac:dyDescent="0.2">
      <c r="A107" s="29">
        <v>23</v>
      </c>
      <c r="B107" s="13" t="s">
        <v>74</v>
      </c>
      <c r="C107" s="14" t="s">
        <v>75</v>
      </c>
      <c r="D107" s="15" t="s">
        <v>204</v>
      </c>
      <c r="E107" s="45">
        <f>199*76.24</f>
        <v>15171.759999999998</v>
      </c>
    </row>
    <row r="108" spans="1:5" ht="24" outlineLevel="1" x14ac:dyDescent="0.2">
      <c r="A108" s="30"/>
      <c r="B108" s="16"/>
      <c r="C108" s="17" t="s">
        <v>221</v>
      </c>
      <c r="D108" s="18" t="s">
        <v>222</v>
      </c>
      <c r="E108" s="46" t="s">
        <v>5</v>
      </c>
    </row>
    <row r="109" spans="1:5" ht="38.25" x14ac:dyDescent="0.2">
      <c r="A109" s="29">
        <v>24</v>
      </c>
      <c r="B109" s="13" t="s">
        <v>78</v>
      </c>
      <c r="C109" s="14" t="s">
        <v>79</v>
      </c>
      <c r="D109" s="15" t="s">
        <v>205</v>
      </c>
      <c r="E109" s="45">
        <f>168*76.24</f>
        <v>12808.32</v>
      </c>
    </row>
    <row r="110" spans="1:5" ht="24" outlineLevel="1" x14ac:dyDescent="0.2">
      <c r="A110" s="30"/>
      <c r="B110" s="16"/>
      <c r="C110" s="17" t="s">
        <v>221</v>
      </c>
      <c r="D110" s="18" t="s">
        <v>222</v>
      </c>
      <c r="E110" s="46" t="s">
        <v>5</v>
      </c>
    </row>
    <row r="111" spans="1:5" ht="63.75" x14ac:dyDescent="0.2">
      <c r="A111" s="29">
        <v>25</v>
      </c>
      <c r="B111" s="13" t="s">
        <v>76</v>
      </c>
      <c r="C111" s="14" t="s">
        <v>77</v>
      </c>
      <c r="D111" s="15" t="s">
        <v>110</v>
      </c>
      <c r="E111" s="45">
        <f>276*76.24</f>
        <v>21042.239999999998</v>
      </c>
    </row>
    <row r="112" spans="1:5" ht="24" outlineLevel="1" x14ac:dyDescent="0.2">
      <c r="A112" s="30"/>
      <c r="B112" s="16"/>
      <c r="C112" s="17" t="s">
        <v>221</v>
      </c>
      <c r="D112" s="18" t="s">
        <v>222</v>
      </c>
      <c r="E112" s="46" t="s">
        <v>5</v>
      </c>
    </row>
    <row r="113" spans="1:5" ht="38.25" x14ac:dyDescent="0.2">
      <c r="A113" s="29">
        <v>26</v>
      </c>
      <c r="B113" s="13" t="s">
        <v>112</v>
      </c>
      <c r="C113" s="14" t="s">
        <v>111</v>
      </c>
      <c r="D113" s="15" t="s">
        <v>206</v>
      </c>
      <c r="E113" s="45">
        <f>480*76.24</f>
        <v>36595.199999999997</v>
      </c>
    </row>
    <row r="114" spans="1:5" ht="24" outlineLevel="1" x14ac:dyDescent="0.2">
      <c r="A114" s="30"/>
      <c r="B114" s="16"/>
      <c r="C114" s="17" t="s">
        <v>221</v>
      </c>
      <c r="D114" s="18" t="s">
        <v>222</v>
      </c>
      <c r="E114" s="46" t="s">
        <v>5</v>
      </c>
    </row>
    <row r="115" spans="1:5" ht="51" x14ac:dyDescent="0.2">
      <c r="A115" s="29">
        <v>27</v>
      </c>
      <c r="B115" s="13" t="s">
        <v>73</v>
      </c>
      <c r="C115" s="14" t="s">
        <v>62</v>
      </c>
      <c r="D115" s="15" t="s">
        <v>207</v>
      </c>
      <c r="E115" s="45">
        <f>4*580*76.24</f>
        <v>176876.79999999999</v>
      </c>
    </row>
    <row r="116" spans="1:5" ht="24" outlineLevel="1" x14ac:dyDescent="0.2">
      <c r="A116" s="30"/>
      <c r="B116" s="16"/>
      <c r="C116" s="17" t="s">
        <v>221</v>
      </c>
      <c r="D116" s="18" t="s">
        <v>222</v>
      </c>
      <c r="E116" s="46" t="s">
        <v>5</v>
      </c>
    </row>
    <row r="117" spans="1:5" ht="63.75" x14ac:dyDescent="0.2">
      <c r="A117" s="29">
        <v>28</v>
      </c>
      <c r="B117" s="13" t="s">
        <v>113</v>
      </c>
      <c r="C117" s="14" t="s">
        <v>18</v>
      </c>
      <c r="D117" s="15" t="s">
        <v>208</v>
      </c>
      <c r="E117" s="45">
        <f>78*76.24</f>
        <v>5946.7199999999993</v>
      </c>
    </row>
    <row r="118" spans="1:5" ht="24" outlineLevel="1" x14ac:dyDescent="0.2">
      <c r="A118" s="30"/>
      <c r="B118" s="16"/>
      <c r="C118" s="17" t="s">
        <v>221</v>
      </c>
      <c r="D118" s="18" t="s">
        <v>222</v>
      </c>
      <c r="E118" s="46" t="s">
        <v>5</v>
      </c>
    </row>
    <row r="119" spans="1:5" ht="15" x14ac:dyDescent="0.2">
      <c r="A119" s="20"/>
      <c r="B119" s="39" t="s">
        <v>127</v>
      </c>
      <c r="C119" s="40"/>
      <c r="D119" s="40"/>
      <c r="E119" s="48">
        <f>E117+E115+E113+E111+E109+E107</f>
        <v>268441.03999999998</v>
      </c>
    </row>
    <row r="120" spans="1:5" ht="20.45" customHeight="1" x14ac:dyDescent="0.2">
      <c r="A120" s="27" t="s">
        <v>95</v>
      </c>
      <c r="B120" s="28"/>
      <c r="C120" s="28"/>
      <c r="D120" s="28"/>
      <c r="E120" s="28"/>
    </row>
    <row r="121" spans="1:5" ht="63.75" x14ac:dyDescent="0.2">
      <c r="A121" s="29">
        <v>29</v>
      </c>
      <c r="B121" s="13" t="s">
        <v>96</v>
      </c>
      <c r="C121" s="14" t="s">
        <v>50</v>
      </c>
      <c r="D121" s="15" t="s">
        <v>209</v>
      </c>
      <c r="E121" s="45">
        <f>600*76.24</f>
        <v>45744</v>
      </c>
    </row>
    <row r="122" spans="1:5" ht="24" outlineLevel="1" x14ac:dyDescent="0.2">
      <c r="A122" s="30"/>
      <c r="B122" s="16"/>
      <c r="C122" s="17" t="s">
        <v>221</v>
      </c>
      <c r="D122" s="18" t="s">
        <v>222</v>
      </c>
      <c r="E122" s="46" t="s">
        <v>5</v>
      </c>
    </row>
    <row r="123" spans="1:5" ht="20.45" customHeight="1" x14ac:dyDescent="0.2">
      <c r="A123" s="12"/>
      <c r="B123" s="35" t="s">
        <v>66</v>
      </c>
      <c r="C123" s="36"/>
      <c r="D123" s="36"/>
      <c r="E123" s="36"/>
    </row>
    <row r="124" spans="1:5" ht="38.25" x14ac:dyDescent="0.2">
      <c r="A124" s="29">
        <v>30</v>
      </c>
      <c r="B124" s="13" t="s">
        <v>153</v>
      </c>
      <c r="C124" s="14" t="s">
        <v>67</v>
      </c>
      <c r="D124" s="15" t="s">
        <v>210</v>
      </c>
      <c r="E124" s="45">
        <f>145*76.24</f>
        <v>11054.8</v>
      </c>
    </row>
    <row r="125" spans="1:5" ht="24" outlineLevel="1" x14ac:dyDescent="0.2">
      <c r="A125" s="30"/>
      <c r="B125" s="16"/>
      <c r="C125" s="17" t="s">
        <v>221</v>
      </c>
      <c r="D125" s="18" t="s">
        <v>222</v>
      </c>
      <c r="E125" s="46" t="s">
        <v>5</v>
      </c>
    </row>
    <row r="126" spans="1:5" ht="20.45" customHeight="1" x14ac:dyDescent="0.2">
      <c r="A126" s="12"/>
      <c r="B126" s="35" t="s">
        <v>97</v>
      </c>
      <c r="C126" s="36"/>
      <c r="D126" s="36"/>
      <c r="E126" s="36"/>
    </row>
    <row r="127" spans="1:5" ht="20.45" customHeight="1" x14ac:dyDescent="0.2">
      <c r="A127" s="12"/>
      <c r="B127" s="35" t="s">
        <v>98</v>
      </c>
      <c r="C127" s="36"/>
      <c r="D127" s="36"/>
      <c r="E127" s="36"/>
    </row>
    <row r="128" spans="1:5" ht="38.25" x14ac:dyDescent="0.2">
      <c r="A128" s="29">
        <v>31</v>
      </c>
      <c r="B128" s="13" t="s">
        <v>99</v>
      </c>
      <c r="C128" s="14" t="s">
        <v>100</v>
      </c>
      <c r="D128" s="15" t="s">
        <v>211</v>
      </c>
      <c r="E128" s="45">
        <f>130*3*1.3*76.24</f>
        <v>38653.68</v>
      </c>
    </row>
    <row r="129" spans="1:5" ht="60" outlineLevel="1" x14ac:dyDescent="0.2">
      <c r="A129" s="30"/>
      <c r="B129" s="16"/>
      <c r="C129" s="17" t="s">
        <v>70</v>
      </c>
      <c r="D129" s="18" t="s">
        <v>71</v>
      </c>
      <c r="E129" s="46" t="s">
        <v>5</v>
      </c>
    </row>
    <row r="130" spans="1:5" ht="24" outlineLevel="1" x14ac:dyDescent="0.2">
      <c r="A130" s="30"/>
      <c r="B130" s="16"/>
      <c r="C130" s="17" t="s">
        <v>106</v>
      </c>
      <c r="D130" s="18" t="s">
        <v>184</v>
      </c>
      <c r="E130" s="46" t="s">
        <v>5</v>
      </c>
    </row>
    <row r="131" spans="1:5" ht="38.25" x14ac:dyDescent="0.2">
      <c r="A131" s="29">
        <v>32</v>
      </c>
      <c r="B131" s="13" t="s">
        <v>152</v>
      </c>
      <c r="C131" s="14" t="s">
        <v>151</v>
      </c>
      <c r="D131" s="15" t="s">
        <v>212</v>
      </c>
      <c r="E131" s="45">
        <f>5*80*1.3*76.24</f>
        <v>39644.799999999996</v>
      </c>
    </row>
    <row r="132" spans="1:5" ht="60" outlineLevel="1" x14ac:dyDescent="0.2">
      <c r="A132" s="30"/>
      <c r="B132" s="16"/>
      <c r="C132" s="17" t="s">
        <v>70</v>
      </c>
      <c r="D132" s="18" t="s">
        <v>71</v>
      </c>
      <c r="E132" s="46" t="s">
        <v>5</v>
      </c>
    </row>
    <row r="133" spans="1:5" ht="24" outlineLevel="1" x14ac:dyDescent="0.2">
      <c r="A133" s="30"/>
      <c r="B133" s="16"/>
      <c r="C133" s="17" t="s">
        <v>221</v>
      </c>
      <c r="D133" s="18" t="s">
        <v>222</v>
      </c>
      <c r="E133" s="46" t="s">
        <v>5</v>
      </c>
    </row>
    <row r="134" spans="1:5" ht="38.25" x14ac:dyDescent="0.2">
      <c r="A134" s="29">
        <v>33</v>
      </c>
      <c r="B134" s="13" t="s">
        <v>154</v>
      </c>
      <c r="C134" s="14" t="s">
        <v>155</v>
      </c>
      <c r="D134" s="15" t="s">
        <v>213</v>
      </c>
      <c r="E134" s="45">
        <f>200*10*76.24</f>
        <v>152480</v>
      </c>
    </row>
    <row r="135" spans="1:5" ht="24" outlineLevel="1" x14ac:dyDescent="0.2">
      <c r="A135" s="30"/>
      <c r="B135" s="16"/>
      <c r="C135" s="17" t="s">
        <v>221</v>
      </c>
      <c r="D135" s="18" t="s">
        <v>222</v>
      </c>
      <c r="E135" s="46" t="s">
        <v>5</v>
      </c>
    </row>
    <row r="136" spans="1:5" ht="15" x14ac:dyDescent="0.2">
      <c r="A136" s="12"/>
      <c r="B136" s="39" t="s">
        <v>133</v>
      </c>
      <c r="C136" s="40"/>
      <c r="D136" s="40"/>
      <c r="E136" s="48">
        <f>E134+E131+E128+E124+E121</f>
        <v>287577.27999999997</v>
      </c>
    </row>
    <row r="137" spans="1:5" ht="20.45" customHeight="1" x14ac:dyDescent="0.2">
      <c r="A137" s="27" t="s">
        <v>125</v>
      </c>
      <c r="B137" s="28"/>
      <c r="C137" s="28"/>
      <c r="D137" s="28"/>
      <c r="E137" s="28"/>
    </row>
    <row r="138" spans="1:5" ht="63.75" x14ac:dyDescent="0.2">
      <c r="A138" s="29">
        <v>34</v>
      </c>
      <c r="B138" s="13" t="s">
        <v>80</v>
      </c>
      <c r="C138" s="14" t="s">
        <v>81</v>
      </c>
      <c r="D138" s="15" t="s">
        <v>214</v>
      </c>
      <c r="E138" s="45">
        <f>26.3*12*76.24</f>
        <v>24061.344000000001</v>
      </c>
    </row>
    <row r="139" spans="1:5" ht="24" outlineLevel="1" x14ac:dyDescent="0.2">
      <c r="A139" s="30"/>
      <c r="B139" s="16"/>
      <c r="C139" s="17" t="s">
        <v>221</v>
      </c>
      <c r="D139" s="18" t="s">
        <v>222</v>
      </c>
      <c r="E139" s="46" t="s">
        <v>5</v>
      </c>
    </row>
    <row r="140" spans="1:5" ht="63.75" x14ac:dyDescent="0.2">
      <c r="A140" s="29">
        <v>35</v>
      </c>
      <c r="B140" s="13" t="s">
        <v>82</v>
      </c>
      <c r="C140" s="14" t="s">
        <v>83</v>
      </c>
      <c r="D140" s="15" t="s">
        <v>121</v>
      </c>
      <c r="E140" s="45">
        <f>20.05*8*76.24</f>
        <v>12228.895999999999</v>
      </c>
    </row>
    <row r="141" spans="1:5" ht="24" outlineLevel="1" x14ac:dyDescent="0.2">
      <c r="A141" s="30"/>
      <c r="B141" s="16"/>
      <c r="C141" s="17" t="s">
        <v>221</v>
      </c>
      <c r="D141" s="18" t="s">
        <v>222</v>
      </c>
      <c r="E141" s="46" t="s">
        <v>5</v>
      </c>
    </row>
    <row r="142" spans="1:5" ht="38.25" x14ac:dyDescent="0.2">
      <c r="A142" s="29">
        <v>36</v>
      </c>
      <c r="B142" s="13" t="s">
        <v>84</v>
      </c>
      <c r="C142" s="14" t="s">
        <v>85</v>
      </c>
      <c r="D142" s="15" t="s">
        <v>215</v>
      </c>
      <c r="E142" s="45">
        <f>17.6*12*76.24</f>
        <v>16101.888000000001</v>
      </c>
    </row>
    <row r="143" spans="1:5" ht="24" outlineLevel="1" x14ac:dyDescent="0.2">
      <c r="A143" s="30"/>
      <c r="B143" s="16"/>
      <c r="C143" s="17" t="s">
        <v>221</v>
      </c>
      <c r="D143" s="18" t="s">
        <v>222</v>
      </c>
      <c r="E143" s="46" t="s">
        <v>5</v>
      </c>
    </row>
    <row r="144" spans="1:5" ht="25.5" x14ac:dyDescent="0.2">
      <c r="A144" s="29">
        <v>37</v>
      </c>
      <c r="B144" s="13" t="s">
        <v>86</v>
      </c>
      <c r="C144" s="14" t="s">
        <v>87</v>
      </c>
      <c r="D144" s="15" t="s">
        <v>216</v>
      </c>
      <c r="E144" s="45">
        <f>10.6*3*76.24</f>
        <v>2424.4319999999998</v>
      </c>
    </row>
    <row r="145" spans="1:5" ht="24" outlineLevel="1" x14ac:dyDescent="0.2">
      <c r="A145" s="30"/>
      <c r="B145" s="16"/>
      <c r="C145" s="17" t="s">
        <v>221</v>
      </c>
      <c r="D145" s="18" t="s">
        <v>222</v>
      </c>
      <c r="E145" s="46" t="s">
        <v>5</v>
      </c>
    </row>
    <row r="146" spans="1:5" ht="76.5" x14ac:dyDescent="0.2">
      <c r="A146" s="29">
        <v>38</v>
      </c>
      <c r="B146" s="13" t="s">
        <v>88</v>
      </c>
      <c r="C146" s="14" t="s">
        <v>89</v>
      </c>
      <c r="D146" s="15" t="s">
        <v>217</v>
      </c>
      <c r="E146" s="45">
        <f>1.7*92*76.24</f>
        <v>11923.936</v>
      </c>
    </row>
    <row r="147" spans="1:5" ht="24" outlineLevel="1" x14ac:dyDescent="0.2">
      <c r="A147" s="30"/>
      <c r="B147" s="16"/>
      <c r="C147" s="17" t="s">
        <v>221</v>
      </c>
      <c r="D147" s="18" t="s">
        <v>222</v>
      </c>
      <c r="E147" s="46" t="s">
        <v>5</v>
      </c>
    </row>
    <row r="148" spans="1:5" ht="76.5" x14ac:dyDescent="0.2">
      <c r="A148" s="29">
        <v>39</v>
      </c>
      <c r="B148" s="13" t="s">
        <v>90</v>
      </c>
      <c r="C148" s="14" t="s">
        <v>91</v>
      </c>
      <c r="D148" s="15" t="s">
        <v>218</v>
      </c>
      <c r="E148" s="45">
        <f>1.1*30*74.38</f>
        <v>2454.54</v>
      </c>
    </row>
    <row r="149" spans="1:5" ht="24" outlineLevel="1" x14ac:dyDescent="0.2">
      <c r="A149" s="30"/>
      <c r="B149" s="16"/>
      <c r="C149" s="17" t="s">
        <v>221</v>
      </c>
      <c r="D149" s="18" t="s">
        <v>222</v>
      </c>
      <c r="E149" s="46" t="s">
        <v>5</v>
      </c>
    </row>
    <row r="150" spans="1:5" ht="51" x14ac:dyDescent="0.2">
      <c r="A150" s="29">
        <v>40</v>
      </c>
      <c r="B150" s="13" t="s">
        <v>92</v>
      </c>
      <c r="C150" s="14" t="s">
        <v>85</v>
      </c>
      <c r="D150" s="15" t="s">
        <v>219</v>
      </c>
      <c r="E150" s="45">
        <f>17.6*1.2*76.24</f>
        <v>1610.1887999999999</v>
      </c>
    </row>
    <row r="151" spans="1:5" ht="24" outlineLevel="1" x14ac:dyDescent="0.2">
      <c r="A151" s="30"/>
      <c r="B151" s="16"/>
      <c r="C151" s="17" t="s">
        <v>221</v>
      </c>
      <c r="D151" s="18" t="s">
        <v>222</v>
      </c>
      <c r="E151" s="46" t="s">
        <v>5</v>
      </c>
    </row>
    <row r="152" spans="1:5" ht="25.5" x14ac:dyDescent="0.2">
      <c r="A152" s="29">
        <v>41</v>
      </c>
      <c r="B152" s="13" t="s">
        <v>93</v>
      </c>
      <c r="C152" s="14" t="s">
        <v>94</v>
      </c>
      <c r="D152" s="15" t="s">
        <v>220</v>
      </c>
      <c r="E152" s="45">
        <f>4.5*2*76.24</f>
        <v>686.16</v>
      </c>
    </row>
    <row r="153" spans="1:5" ht="24" outlineLevel="1" x14ac:dyDescent="0.2">
      <c r="A153" s="30"/>
      <c r="B153" s="16"/>
      <c r="C153" s="17" t="s">
        <v>221</v>
      </c>
      <c r="D153" s="18" t="s">
        <v>222</v>
      </c>
      <c r="E153" s="46" t="s">
        <v>5</v>
      </c>
    </row>
    <row r="154" spans="1:5" ht="15" x14ac:dyDescent="0.2">
      <c r="A154" s="20"/>
      <c r="B154" s="39" t="s">
        <v>126</v>
      </c>
      <c r="C154" s="40"/>
      <c r="D154" s="40"/>
      <c r="E154" s="48">
        <f>E152+E150+E148+E146+E144+E142+E140+E138</f>
        <v>71491.3848</v>
      </c>
    </row>
    <row r="155" spans="1:5" ht="48" customHeight="1" x14ac:dyDescent="0.2">
      <c r="A155" s="12"/>
      <c r="B155" s="33" t="s">
        <v>150</v>
      </c>
      <c r="C155" s="34"/>
      <c r="D155" s="34"/>
      <c r="E155" s="47">
        <f>E154+E136+E119+E105+E88</f>
        <v>965483.16980000003</v>
      </c>
    </row>
    <row r="156" spans="1:5" ht="20.45" customHeight="1" x14ac:dyDescent="0.2">
      <c r="A156" s="31" t="s">
        <v>136</v>
      </c>
      <c r="B156" s="32"/>
      <c r="C156" s="32"/>
      <c r="D156" s="32"/>
      <c r="E156" s="32"/>
    </row>
    <row r="157" spans="1:5" ht="140.25" x14ac:dyDescent="0.2">
      <c r="A157" s="29">
        <v>42</v>
      </c>
      <c r="B157" s="13" t="s">
        <v>138</v>
      </c>
      <c r="C157" s="14" t="s">
        <v>139</v>
      </c>
      <c r="D157" s="15" t="s">
        <v>146</v>
      </c>
      <c r="E157" s="45">
        <f>540*4*30*4</f>
        <v>259200</v>
      </c>
    </row>
    <row r="158" spans="1:5" ht="24" outlineLevel="1" x14ac:dyDescent="0.2">
      <c r="A158" s="30"/>
      <c r="B158" s="16"/>
      <c r="C158" s="17" t="s">
        <v>141</v>
      </c>
      <c r="D158" s="18" t="s">
        <v>140</v>
      </c>
      <c r="E158" s="46" t="s">
        <v>5</v>
      </c>
    </row>
    <row r="159" spans="1:5" ht="60" outlineLevel="1" x14ac:dyDescent="0.2">
      <c r="A159" s="21"/>
      <c r="B159" s="16"/>
      <c r="C159" s="17" t="s">
        <v>142</v>
      </c>
      <c r="D159" s="18" t="s">
        <v>143</v>
      </c>
      <c r="E159" s="46" t="s">
        <v>5</v>
      </c>
    </row>
    <row r="160" spans="1:5" ht="49.5" customHeight="1" outlineLevel="1" x14ac:dyDescent="0.2">
      <c r="A160" s="21"/>
      <c r="B160" s="16"/>
      <c r="C160" s="17" t="s">
        <v>144</v>
      </c>
      <c r="D160" s="18" t="s">
        <v>145</v>
      </c>
      <c r="E160" s="46" t="s">
        <v>5</v>
      </c>
    </row>
    <row r="161" spans="1:5" ht="48" customHeight="1" x14ac:dyDescent="0.2">
      <c r="A161" s="12"/>
      <c r="B161" s="33" t="s">
        <v>147</v>
      </c>
      <c r="C161" s="34"/>
      <c r="D161" s="34"/>
      <c r="E161" s="47">
        <f>E157</f>
        <v>259200</v>
      </c>
    </row>
    <row r="162" spans="1:5" ht="15" x14ac:dyDescent="0.2">
      <c r="A162" s="12"/>
      <c r="B162" s="33" t="s">
        <v>101</v>
      </c>
      <c r="C162" s="34"/>
      <c r="D162" s="34"/>
      <c r="E162" s="47"/>
    </row>
    <row r="163" spans="1:5" ht="15.95" customHeight="1" x14ac:dyDescent="0.2">
      <c r="A163" s="12"/>
      <c r="B163" s="35" t="s">
        <v>130</v>
      </c>
      <c r="C163" s="30"/>
      <c r="D163" s="30"/>
      <c r="E163" s="45">
        <f>E21</f>
        <v>76965.635999999999</v>
      </c>
    </row>
    <row r="164" spans="1:5" ht="15.4" customHeight="1" x14ac:dyDescent="0.2">
      <c r="A164" s="12"/>
      <c r="B164" s="35" t="s">
        <v>131</v>
      </c>
      <c r="C164" s="30"/>
      <c r="D164" s="30"/>
      <c r="E164" s="45">
        <f>E77</f>
        <v>725229.52313599992</v>
      </c>
    </row>
    <row r="165" spans="1:5" ht="15" x14ac:dyDescent="0.2">
      <c r="A165" s="12"/>
      <c r="B165" s="35" t="s">
        <v>132</v>
      </c>
      <c r="C165" s="30"/>
      <c r="D165" s="30"/>
      <c r="E165" s="45">
        <f>E155</f>
        <v>965483.16980000003</v>
      </c>
    </row>
    <row r="166" spans="1:5" ht="15" x14ac:dyDescent="0.2">
      <c r="A166" s="12"/>
      <c r="B166" s="35" t="s">
        <v>137</v>
      </c>
      <c r="C166" s="30"/>
      <c r="D166" s="30"/>
      <c r="E166" s="45">
        <f>E161</f>
        <v>259200</v>
      </c>
    </row>
    <row r="167" spans="1:5" ht="15" x14ac:dyDescent="0.2">
      <c r="A167" s="12"/>
      <c r="B167" s="35" t="s">
        <v>102</v>
      </c>
      <c r="C167" s="30"/>
      <c r="D167" s="30"/>
      <c r="E167" s="45">
        <f>E163+E164+E165+E166</f>
        <v>2026878.3289359999</v>
      </c>
    </row>
    <row r="168" spans="1:5" ht="15" x14ac:dyDescent="0.2">
      <c r="A168" s="12"/>
      <c r="B168" s="35" t="s">
        <v>103</v>
      </c>
      <c r="C168" s="30"/>
      <c r="D168" s="30"/>
      <c r="E168" s="45"/>
    </row>
    <row r="169" spans="1:5" ht="15" x14ac:dyDescent="0.2">
      <c r="A169" s="12"/>
      <c r="B169" s="33" t="s">
        <v>104</v>
      </c>
      <c r="C169" s="34"/>
      <c r="D169" s="34"/>
      <c r="E169" s="47">
        <f>E167</f>
        <v>2026878.3289359999</v>
      </c>
    </row>
    <row r="170" spans="1:5" x14ac:dyDescent="0.2">
      <c r="A170" s="22"/>
      <c r="B170" s="23"/>
      <c r="C170" s="24"/>
      <c r="D170" s="25"/>
      <c r="E170" s="49"/>
    </row>
    <row r="172" spans="1:5" ht="30" customHeight="1" x14ac:dyDescent="0.2">
      <c r="A172" s="41" t="s">
        <v>105</v>
      </c>
      <c r="B172" s="41"/>
      <c r="C172" s="41"/>
      <c r="D172" s="41"/>
      <c r="E172" s="41"/>
    </row>
  </sheetData>
  <mergeCells count="75">
    <mergeCell ref="A107:A108"/>
    <mergeCell ref="A117:A118"/>
    <mergeCell ref="A109:A110"/>
    <mergeCell ref="B36:E36"/>
    <mergeCell ref="A93:A94"/>
    <mergeCell ref="A78:E78"/>
    <mergeCell ref="B98:E98"/>
    <mergeCell ref="B105:D105"/>
    <mergeCell ref="A101:A102"/>
    <mergeCell ref="B45:E45"/>
    <mergeCell ref="A103:A104"/>
    <mergeCell ref="A89:E89"/>
    <mergeCell ref="B58:E58"/>
    <mergeCell ref="A99:A100"/>
    <mergeCell ref="A80:E80"/>
    <mergeCell ref="A172:E172"/>
    <mergeCell ref="A131:A133"/>
    <mergeCell ref="A124:A125"/>
    <mergeCell ref="A128:A130"/>
    <mergeCell ref="B169:D169"/>
    <mergeCell ref="B168:D168"/>
    <mergeCell ref="B155:D155"/>
    <mergeCell ref="A137:E137"/>
    <mergeCell ref="B162:D162"/>
    <mergeCell ref="B126:E126"/>
    <mergeCell ref="B127:E127"/>
    <mergeCell ref="A138:A139"/>
    <mergeCell ref="A140:A141"/>
    <mergeCell ref="A142:A143"/>
    <mergeCell ref="A144:A145"/>
    <mergeCell ref="A157:A158"/>
    <mergeCell ref="A96:A97"/>
    <mergeCell ref="A146:A147"/>
    <mergeCell ref="B167:D167"/>
    <mergeCell ref="B163:D163"/>
    <mergeCell ref="B164:D164"/>
    <mergeCell ref="B165:D165"/>
    <mergeCell ref="B166:D166"/>
    <mergeCell ref="A156:E156"/>
    <mergeCell ref="B161:D161"/>
    <mergeCell ref="B154:D154"/>
    <mergeCell ref="A148:A149"/>
    <mergeCell ref="A150:A151"/>
    <mergeCell ref="A152:A153"/>
    <mergeCell ref="A120:E120"/>
    <mergeCell ref="B123:E123"/>
    <mergeCell ref="A121:A122"/>
    <mergeCell ref="B1:D1"/>
    <mergeCell ref="B2:D2"/>
    <mergeCell ref="B136:D136"/>
    <mergeCell ref="A134:A135"/>
    <mergeCell ref="B119:D119"/>
    <mergeCell ref="B88:D88"/>
    <mergeCell ref="B77:D77"/>
    <mergeCell ref="A113:A114"/>
    <mergeCell ref="A111:A112"/>
    <mergeCell ref="B92:E92"/>
    <mergeCell ref="B95:E95"/>
    <mergeCell ref="A81:A87"/>
    <mergeCell ref="A90:A91"/>
    <mergeCell ref="A106:E106"/>
    <mergeCell ref="A115:A116"/>
    <mergeCell ref="B79:E79"/>
    <mergeCell ref="A4:E4"/>
    <mergeCell ref="A31:E31"/>
    <mergeCell ref="A32:A34"/>
    <mergeCell ref="A8:A16"/>
    <mergeCell ref="A17:A18"/>
    <mergeCell ref="A7:E7"/>
    <mergeCell ref="B21:D21"/>
    <mergeCell ref="A19:A20"/>
    <mergeCell ref="A22:E22"/>
    <mergeCell ref="B23:E23"/>
    <mergeCell ref="A24:A28"/>
    <mergeCell ref="A29:A30"/>
  </mergeCells>
  <pageMargins left="0.35433070866141736" right="0.23622047244094491" top="0.74803149606299213" bottom="0.74803149606299213" header="0.31496062992125984" footer="0.31496062992125984"/>
  <pageSetup paperSize="9" fitToHeight="0" orientation="landscape" r:id="rId1"/>
  <headerFooter differentFirst="1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2025-06-27T13:04:08Z</cp:lastPrinted>
  <dcterms:created xsi:type="dcterms:W3CDTF">2014-05-08T09:51:02Z</dcterms:created>
  <dcterms:modified xsi:type="dcterms:W3CDTF">2025-09-03T08:49:40Z</dcterms:modified>
</cp:coreProperties>
</file>